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ntwicklung\Smarthome\_System\Produkt_Doku\05_Tech\B_BedAnleit\Installationshandbuch Smart Home\DE Version\"/>
    </mc:Choice>
  </mc:AlternateContent>
  <bookViews>
    <workbookView xWindow="0" yWindow="0" windowWidth="2370" windowHeight="0"/>
  </bookViews>
  <sheets>
    <sheet name="myTEM Smart Home" sheetId="8" r:id="rId1"/>
    <sheet name="myTEM Free Topology Rechner" sheetId="7" r:id="rId2"/>
    <sheet name="myTEM Free Topology Parameters" sheetId="6" state="hidden" r:id="rId3"/>
    <sheet name="myTEM Wired Rechner" sheetId="4" r:id="rId4"/>
    <sheet name="myTEM Wired Parameters" sheetId="5" state="hidden" r:id="rId5"/>
  </sheets>
  <definedNames>
    <definedName name="_xlnm.Print_Area" localSheetId="1">'myTEM Free Topology Rechner'!$A:$C</definedName>
    <definedName name="_xlnm.Print_Area" localSheetId="0">'myTEM Smart Home'!$A:$B</definedName>
    <definedName name="_xlnm.Print_Area" localSheetId="3">'myTEM Wired Rechner'!$A:$B</definedName>
  </definedNames>
  <calcPr calcId="162913"/>
</workbook>
</file>

<file path=xl/calcChain.xml><?xml version="1.0" encoding="utf-8"?>
<calcChain xmlns="http://schemas.openxmlformats.org/spreadsheetml/2006/main">
  <c r="C11" i="6" l="1"/>
  <c r="B5" i="5" l="1"/>
  <c r="B20" i="5"/>
  <c r="C4" i="6" l="1"/>
  <c r="C5" i="6"/>
  <c r="C10" i="6"/>
  <c r="B26" i="6"/>
  <c r="C26" i="6" s="1"/>
  <c r="C28" i="6" s="1"/>
  <c r="C25" i="6" s="1"/>
  <c r="C24" i="6" s="1"/>
  <c r="B17" i="6"/>
  <c r="B19" i="6" s="1"/>
  <c r="B16" i="6" s="1"/>
  <c r="D11" i="6"/>
  <c r="D13" i="6" s="1"/>
  <c r="B24" i="6"/>
  <c r="B25" i="6" s="1"/>
  <c r="B7" i="5"/>
  <c r="B4" i="5" s="1"/>
  <c r="C7" i="6" l="1"/>
  <c r="B7" i="6" s="1"/>
  <c r="B6" i="6" s="1"/>
  <c r="B27" i="6"/>
  <c r="B29" i="6" s="1"/>
  <c r="B31" i="6" s="1"/>
  <c r="B28" i="6"/>
  <c r="B30" i="6" s="1"/>
  <c r="B96" i="7"/>
  <c r="D10" i="6"/>
  <c r="B13" i="4"/>
  <c r="B20" i="6"/>
  <c r="B103" i="7" s="1"/>
  <c r="B24" i="5"/>
  <c r="B28" i="4" s="1"/>
  <c r="B27" i="4"/>
  <c r="B5" i="6" l="1"/>
  <c r="B32" i="6"/>
  <c r="B51" i="6"/>
  <c r="B104" i="7" s="1"/>
  <c r="C12" i="6"/>
  <c r="C13" i="6" s="1"/>
  <c r="B13" i="6" s="1"/>
  <c r="C23" i="6"/>
  <c r="B81" i="7" s="1"/>
  <c r="B53" i="6" l="1"/>
  <c r="B34" i="7" s="1"/>
  <c r="B33" i="7"/>
  <c r="B52" i="6"/>
  <c r="B80" i="7" s="1"/>
  <c r="B12" i="6"/>
  <c r="B11" i="6" l="1"/>
  <c r="B50" i="6" l="1"/>
  <c r="B59" i="7" s="1"/>
  <c r="B58" i="7"/>
</calcChain>
</file>

<file path=xl/sharedStrings.xml><?xml version="1.0" encoding="utf-8"?>
<sst xmlns="http://schemas.openxmlformats.org/spreadsheetml/2006/main" count="208" uniqueCount="120">
  <si>
    <t>Devices</t>
  </si>
  <si>
    <t>Cable</t>
  </si>
  <si>
    <t>FT Din6</t>
  </si>
  <si>
    <t>FT Dual</t>
  </si>
  <si>
    <t>FT Dimmer</t>
  </si>
  <si>
    <t>FT RGBW</t>
  </si>
  <si>
    <t>Cable resistance [Ohm]</t>
  </si>
  <si>
    <t>Power [W]</t>
  </si>
  <si>
    <t>Cable length [m]</t>
  </si>
  <si>
    <t>Input voltage [V]</t>
  </si>
  <si>
    <t>V [V] at the end of the cable</t>
  </si>
  <si>
    <t>I [A] at the end of the cable</t>
  </si>
  <si>
    <t>Power sum of the free topology devices connected at the end of the cable [W]</t>
  </si>
  <si>
    <t>Smart Server</t>
  </si>
  <si>
    <t>IO Modul</t>
  </si>
  <si>
    <t>IO Modul Small</t>
  </si>
  <si>
    <t>Relais Modul</t>
  </si>
  <si>
    <t>Dimmer Modul</t>
  </si>
  <si>
    <t>Radio Base Modul</t>
  </si>
  <si>
    <t>Dali Modul</t>
  </si>
  <si>
    <t>FT Base Modul</t>
  </si>
  <si>
    <t>Power sum of the devices connected at the end of the cable [W]</t>
  </si>
  <si>
    <t>Parameters</t>
  </si>
  <si>
    <t>V [V]</t>
  </si>
  <si>
    <t>I [A]</t>
  </si>
  <si>
    <t>Length 1</t>
  </si>
  <si>
    <t>Length 2</t>
  </si>
  <si>
    <t>Power sum [W]</t>
  </si>
  <si>
    <t>P/voltage</t>
  </si>
  <si>
    <t>current sum</t>
  </si>
  <si>
    <t>Messages</t>
  </si>
  <si>
    <t>"MTPOW-100 36W 1.5A"</t>
  </si>
  <si>
    <t>"MTPOW-101 92W 3.83A"</t>
  </si>
  <si>
    <t>"MTPOW-102 240W 10A"</t>
  </si>
  <si>
    <t>loads sum + cable lost</t>
  </si>
  <si>
    <t>Calcualtor 1</t>
  </si>
  <si>
    <t>sum of power</t>
  </si>
  <si>
    <t>power sum / voltage</t>
  </si>
  <si>
    <t>Resistance (loop)</t>
  </si>
  <si>
    <t>cable resistance / 1000 * cable length</t>
  </si>
  <si>
    <t>(24V-voltage at the end of the cable)/(current at the end of the cable)</t>
  </si>
  <si>
    <t>Communication: only one device in the system at the time</t>
  </si>
  <si>
    <t>worst case at 10V (current meas IC active, output 100% on)</t>
  </si>
  <si>
    <t>worst case at 10V (all active, no communication)</t>
  </si>
  <si>
    <t>worst case at 10V (green LED on and RGBW 50% PWM active)</t>
  </si>
  <si>
    <t>worst case at 10V (green LED on and current measurement active)</t>
  </si>
  <si>
    <t>Only transmitting</t>
  </si>
  <si>
    <t>Relay switching</t>
  </si>
  <si>
    <t>worst case</t>
  </si>
  <si>
    <t>number of relay switching at the same time in the system</t>
  </si>
  <si>
    <t>sum of values+1transmit+6relay switching at the same time</t>
  </si>
  <si>
    <t>The voltage at the end of the system is 12V.</t>
  </si>
  <si>
    <t>Calculator 3</t>
  </si>
  <si>
    <t>cable length</t>
  </si>
  <si>
    <t>cable resistance / 1000 * cable length/2</t>
  </si>
  <si>
    <t>Vin/2-sqrt(-2*cable resistance*power sum+(Vin^2)/4)</t>
  </si>
  <si>
    <t>Vin/2+sqrt(-2*cable resistance*power sum+(Vin^2)/4)</t>
  </si>
  <si>
    <t>P/V</t>
  </si>
  <si>
    <t>Vin*current</t>
  </si>
  <si>
    <t>input voltage</t>
  </si>
  <si>
    <t>if error message too many FT devices or too long cables, set to 0</t>
  </si>
  <si>
    <t>fix 12V at the end of the cable</t>
  </si>
  <si>
    <t>12V/current/2</t>
  </si>
  <si>
    <t>cable length given resistance 12V/current/2</t>
  </si>
  <si>
    <t>(12V + current*cable resistance)+cable resistance * current sum</t>
  </si>
  <si>
    <t>12V + current*cable resistance</t>
  </si>
  <si>
    <t>fix 12V</t>
  </si>
  <si>
    <t>(24V-12V)/current</t>
  </si>
  <si>
    <t>power sum+1transmitting+number of relay switching at the same time</t>
  </si>
  <si>
    <t>VOKA EIB BUS / 2X2X0.8MM [Ohm/km]</t>
  </si>
  <si>
    <t>Beschreibung</t>
  </si>
  <si>
    <t>Rechner</t>
  </si>
  <si>
    <t>Geräten</t>
  </si>
  <si>
    <t>Anzahl Geräten</t>
  </si>
  <si>
    <t>Gesamte Leistung [W]</t>
  </si>
  <si>
    <t>Speisung:</t>
  </si>
  <si>
    <t>Rechner 1</t>
  </si>
  <si>
    <t>Rechner 2</t>
  </si>
  <si>
    <t>Rechner 3</t>
  </si>
  <si>
    <t>Die Spannung am letzten Gerät im System ist 12V.</t>
  </si>
  <si>
    <t>System ist OK?</t>
  </si>
  <si>
    <t>Kabellänge [m]</t>
  </si>
  <si>
    <t>"10A überschritten! Bitte Eingabefelder prüfen!"</t>
  </si>
  <si>
    <t>Felder Beschreibung</t>
  </si>
  <si>
    <t>myTEM Free Topology Rechner</t>
  </si>
  <si>
    <t>myTEM Wired Rechner</t>
  </si>
  <si>
    <t>myTEM Smart Home</t>
  </si>
  <si>
    <t>Gleichzeitigkeitsfaktor  [%]</t>
  </si>
  <si>
    <t>Specific resistivity Cu [Ohm mm2 / m]</t>
  </si>
  <si>
    <t>Idle [W]</t>
  </si>
  <si>
    <r>
      <t xml:space="preserve">Rechner unter </t>
    </r>
    <r>
      <rPr>
        <b/>
        <sz val="18"/>
        <color theme="1"/>
        <rFont val="Calibri"/>
        <family val="2"/>
        <scheme val="minor"/>
      </rPr>
      <t>myTEM Wired Rechner</t>
    </r>
  </si>
  <si>
    <r>
      <t xml:space="preserve">Rechner unter </t>
    </r>
    <r>
      <rPr>
        <b/>
        <sz val="18"/>
        <color theme="1"/>
        <rFont val="Calibri"/>
        <family val="2"/>
        <scheme val="minor"/>
      </rPr>
      <t>myTEM Free Topology Rechner</t>
    </r>
  </si>
  <si>
    <t>"Fehler! Einige Parameter sind falsch!"</t>
  </si>
  <si>
    <t>Rechner 4</t>
  </si>
  <si>
    <t>Calcualtor 2</t>
  </si>
  <si>
    <t>Calculator 4</t>
  </si>
  <si>
    <r>
      <t xml:space="preserve">Eingangsspannung ist 24V. Für die Berechnungen wird Kupferdraht angenommen (0.0171 </t>
    </r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 xml:space="preserve"> mm² / m)</t>
    </r>
  </si>
  <si>
    <t>Diese Tabelle berechnet die Kabellänge und die nötige Speisung (Resultate ohne Gewährleistung)</t>
  </si>
  <si>
    <t>Cu Litzenquerschnitt [mm²]</t>
  </si>
  <si>
    <t>Mit diesem Rechner kann die nötige Speisung bestimmt werden (mit der Annahme, dass alle myTEM FT Geräte am Ende des Kabels angeschlossen sind).</t>
  </si>
  <si>
    <t>Max. Abstand zu zusätzlicher Speisung [m] =</t>
  </si>
  <si>
    <t>"Fehler! Zu viele FT Geräte oder zu lange Kabel!"</t>
  </si>
  <si>
    <t>Mit diesem Rechner kann die nötige Speisung bestimmt werden (unter Annahme, dass die myTEM FT Geräte in zwei Bereiche gruppiert sind).</t>
  </si>
  <si>
    <t>Mit diesem Rechner kann die nötige Speisung bestimmt werden (unter Annahme, dass die myTEM FT Geräte gleichmässig über die ganze Länge verteilt sind).</t>
  </si>
  <si>
    <t>Length 1 ist die Kabellänge zwischen die 1. Gruppe und der Speisung. Length 2 ist die Kabellänge zwischen der 1. Gruppe und der 2. Gruppe.</t>
  </si>
  <si>
    <t xml:space="preserve">Es wird die empfohlene Speisung oder bei zu grossem Spannungsabfall eine Fehlermeldung ausgegeben (Spannung am letzten Gerät ist 12V). </t>
  </si>
  <si>
    <t>Mit diesem Rechner kann die maximale Kabellänge mit einer einzelnen Speisung bestimmt werden (unter Annahme, dass alle Geräte am Kabelende angeschlossen sind).</t>
  </si>
  <si>
    <t>Die Rechner auf den Registern können verwendet werden um Kabellängen und nötige Speisungen zu bestimmen für folgende myTEM Systeme:</t>
  </si>
  <si>
    <t>Mit diesem Rechner kann die Kabellänge und die nötige Speisung bestimmt werden, unter Annahme dass, alle myTEM Smart Home Geräte am Kabelende angeschlossen sind.</t>
  </si>
  <si>
    <t>Eingangsspannung ist 24 VDC und das für die Berechnungen verwendete Kabel ist ein VOKA EIB BUS / 2×2×0.8mm.</t>
  </si>
  <si>
    <r>
      <rPr>
        <b/>
        <sz val="11"/>
        <color rgb="FFFF0000"/>
        <rFont val="Calibri"/>
        <family val="2"/>
        <scheme val="minor"/>
      </rPr>
      <t>Rechner 1 oder 2 ergeben gute Schätzungen, Verzweigungen auf mehrere Äste verbessern die Resultate.</t>
    </r>
    <r>
      <rPr>
        <sz val="11"/>
        <color theme="1"/>
        <rFont val="Calibri"/>
        <family val="2"/>
        <scheme val="minor"/>
      </rPr>
      <t xml:space="preserve"> Rechner 3 und 4 sind Worst Case Fälle.</t>
    </r>
  </si>
  <si>
    <t>= Berechnete Parameter (NICHT ÄNDERN!)</t>
  </si>
  <si>
    <t>= Eingabefelder</t>
  </si>
  <si>
    <t>FT Switch Dual</t>
  </si>
  <si>
    <t>FT DIN SIX</t>
  </si>
  <si>
    <t>FT Switch Dimmer</t>
  </si>
  <si>
    <t>FT RGBW Modul</t>
  </si>
  <si>
    <t>Geräte</t>
  </si>
  <si>
    <t>Anzahl Geräte</t>
  </si>
  <si>
    <t>"Zusätzliche Speisung MTPOW-100 36W nötig, weil Spannungsabfall zu gross!"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</si>
</sst>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Fill="1" applyAlignment="1" applyProtection="1">
      <alignment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3" fillId="4" borderId="0" xfId="0" applyFont="1" applyFill="1" applyAlignment="1" applyProtection="1">
      <alignment vertical="center"/>
      <protection hidden="1"/>
    </xf>
    <xf numFmtId="0" fontId="0" fillId="4" borderId="0" xfId="0" quotePrefix="1" applyFill="1" applyAlignment="1" applyProtection="1">
      <alignment horizontal="left" vertical="center"/>
      <protection hidden="1"/>
    </xf>
    <xf numFmtId="2" fontId="0" fillId="3" borderId="19" xfId="0" applyNumberFormat="1" applyFill="1" applyBorder="1" applyAlignment="1" applyProtection="1">
      <alignment horizontal="center" vertical="center"/>
      <protection hidden="1"/>
    </xf>
    <xf numFmtId="0" fontId="0" fillId="4" borderId="14" xfId="0" applyFill="1" applyBorder="1" applyAlignment="1" applyProtection="1">
      <alignment vertical="center"/>
      <protection hidden="1"/>
    </xf>
    <xf numFmtId="0" fontId="0" fillId="4" borderId="20" xfId="0" applyFill="1" applyBorder="1" applyAlignment="1" applyProtection="1">
      <alignment vertical="center"/>
      <protection hidden="1"/>
    </xf>
    <xf numFmtId="0" fontId="1" fillId="4" borderId="14" xfId="0" applyFont="1" applyFill="1" applyBorder="1" applyAlignment="1" applyProtection="1">
      <alignment vertical="center"/>
      <protection hidden="1"/>
    </xf>
    <xf numFmtId="0" fontId="1" fillId="4" borderId="15" xfId="0" applyFont="1" applyFill="1" applyBorder="1" applyAlignment="1" applyProtection="1">
      <alignment horizontal="center" vertical="center"/>
      <protection hidden="1"/>
    </xf>
    <xf numFmtId="0" fontId="1" fillId="4" borderId="16" xfId="0" applyFont="1" applyFill="1" applyBorder="1" applyAlignment="1" applyProtection="1">
      <alignment vertical="center"/>
      <protection hidden="1"/>
    </xf>
    <xf numFmtId="0" fontId="0" fillId="3" borderId="17" xfId="0" applyFill="1" applyBorder="1" applyAlignment="1" applyProtection="1">
      <alignment horizontal="center" vertical="center"/>
      <protection hidden="1"/>
    </xf>
    <xf numFmtId="0" fontId="5" fillId="3" borderId="21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locked="0" hidden="1"/>
    </xf>
    <xf numFmtId="0" fontId="0" fillId="2" borderId="21" xfId="0" applyFill="1" applyBorder="1" applyAlignment="1" applyProtection="1">
      <alignment horizontal="center" vertical="center"/>
      <protection locked="0" hidden="1"/>
    </xf>
    <xf numFmtId="0" fontId="0" fillId="2" borderId="17" xfId="0" applyFill="1" applyBorder="1" applyAlignment="1" applyProtection="1">
      <alignment horizontal="center" vertical="center"/>
      <protection locked="0" hidden="1"/>
    </xf>
    <xf numFmtId="0" fontId="4" fillId="4" borderId="0" xfId="0" applyFont="1" applyFill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2" fontId="0" fillId="3" borderId="17" xfId="0" applyNumberFormat="1" applyFill="1" applyBorder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2" fontId="0" fillId="3" borderId="8" xfId="0" applyNumberFormat="1" applyFill="1" applyBorder="1" applyAlignment="1" applyProtection="1">
      <alignment horizontal="center" vertical="center"/>
      <protection hidden="1"/>
    </xf>
    <xf numFmtId="0" fontId="5" fillId="3" borderId="22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Alignment="1" applyProtection="1">
      <alignment horizontal="center" vertical="center"/>
      <protection hidden="1"/>
    </xf>
    <xf numFmtId="1" fontId="0" fillId="4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16" xfId="0" applyFont="1" applyFill="1" applyBorder="1" applyAlignment="1" applyProtection="1">
      <alignment vertical="center"/>
      <protection hidden="1"/>
    </xf>
    <xf numFmtId="0" fontId="1" fillId="0" borderId="20" xfId="0" applyFont="1" applyFill="1" applyBorder="1" applyAlignment="1" applyProtection="1">
      <alignment vertical="center"/>
      <protection hidden="1"/>
    </xf>
    <xf numFmtId="165" fontId="3" fillId="3" borderId="21" xfId="0" applyNumberFormat="1" applyFont="1" applyFill="1" applyBorder="1" applyAlignment="1" applyProtection="1">
      <alignment horizontal="center" vertical="center"/>
      <protection hidden="1"/>
    </xf>
    <xf numFmtId="2" fontId="0" fillId="3" borderId="19" xfId="0" applyNumberFormat="1" applyFont="1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locked="0" hidden="1"/>
    </xf>
    <xf numFmtId="1" fontId="0" fillId="2" borderId="19" xfId="0" applyNumberFormat="1" applyFill="1" applyBorder="1" applyAlignment="1" applyProtection="1">
      <alignment horizontal="center" vertical="center"/>
      <protection locked="0" hidden="1"/>
    </xf>
    <xf numFmtId="0" fontId="1" fillId="4" borderId="23" xfId="0" applyFont="1" applyFill="1" applyBorder="1" applyAlignment="1" applyProtection="1">
      <alignment horizontal="center" vertical="center"/>
      <protection hidden="1"/>
    </xf>
    <xf numFmtId="0" fontId="1" fillId="4" borderId="25" xfId="0" applyFont="1" applyFill="1" applyBorder="1" applyAlignment="1" applyProtection="1">
      <alignment horizontal="center" vertical="center"/>
      <protection hidden="1"/>
    </xf>
    <xf numFmtId="1" fontId="0" fillId="2" borderId="27" xfId="0" applyNumberFormat="1" applyFont="1" applyFill="1" applyBorder="1" applyAlignment="1" applyProtection="1">
      <alignment horizontal="center" vertical="center"/>
      <protection locked="0" hidden="1"/>
    </xf>
    <xf numFmtId="0" fontId="0" fillId="4" borderId="24" xfId="0" applyFill="1" applyBorder="1" applyAlignment="1" applyProtection="1">
      <alignment vertical="center"/>
      <protection hidden="1"/>
    </xf>
    <xf numFmtId="0" fontId="1" fillId="4" borderId="29" xfId="0" applyFont="1" applyFill="1" applyBorder="1" applyAlignment="1" applyProtection="1">
      <alignment horizontal="center" vertical="center"/>
      <protection hidden="1"/>
    </xf>
    <xf numFmtId="0" fontId="1" fillId="4" borderId="26" xfId="0" applyFont="1" applyFill="1" applyBorder="1" applyAlignment="1" applyProtection="1">
      <alignment vertical="center"/>
      <protection hidden="1"/>
    </xf>
    <xf numFmtId="1" fontId="0" fillId="2" borderId="30" xfId="0" applyNumberFormat="1" applyFont="1" applyFill="1" applyBorder="1" applyAlignment="1" applyProtection="1">
      <alignment horizontal="center" vertical="center"/>
      <protection locked="0" hidden="1"/>
    </xf>
    <xf numFmtId="0" fontId="1" fillId="4" borderId="28" xfId="0" applyFont="1" applyFill="1" applyBorder="1" applyAlignment="1" applyProtection="1">
      <alignment vertical="center"/>
      <protection hidden="1"/>
    </xf>
    <xf numFmtId="1" fontId="0" fillId="2" borderId="19" xfId="0" applyNumberFormat="1" applyFont="1" applyFill="1" applyBorder="1" applyAlignment="1" applyProtection="1">
      <alignment horizontal="center" vertical="center"/>
      <protection locked="0" hidden="1"/>
    </xf>
    <xf numFmtId="0" fontId="0" fillId="4" borderId="28" xfId="0" applyFill="1" applyBorder="1" applyAlignment="1" applyProtection="1">
      <alignment vertical="center"/>
      <protection hidden="1"/>
    </xf>
    <xf numFmtId="0" fontId="1" fillId="4" borderId="20" xfId="0" applyFont="1" applyFill="1" applyBorder="1" applyAlignment="1" applyProtection="1">
      <alignment vertical="center"/>
      <protection hidden="1"/>
    </xf>
    <xf numFmtId="0" fontId="0" fillId="0" borderId="17" xfId="0" applyFill="1" applyBorder="1" applyAlignment="1" applyProtection="1">
      <alignment horizontal="center" vertical="center"/>
      <protection hidden="1"/>
    </xf>
    <xf numFmtId="0" fontId="0" fillId="4" borderId="21" xfId="0" applyFill="1" applyBorder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3" fillId="0" borderId="0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8" xfId="0" applyBorder="1" applyProtection="1">
      <protection hidden="1"/>
    </xf>
    <xf numFmtId="164" fontId="0" fillId="0" borderId="8" xfId="0" applyNumberForma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8" xfId="0" applyFont="1" applyBorder="1" applyProtection="1"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0" fillId="0" borderId="8" xfId="0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8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5" xfId="0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6" xfId="0" applyBorder="1" applyProtection="1">
      <protection hidden="1"/>
    </xf>
    <xf numFmtId="0" fontId="0" fillId="0" borderId="4" xfId="0" applyFill="1" applyBorder="1" applyProtection="1">
      <protection hidden="1"/>
    </xf>
    <xf numFmtId="0" fontId="0" fillId="0" borderId="7" xfId="0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164" fontId="0" fillId="0" borderId="18" xfId="0" applyNumberFormat="1" applyFill="1" applyBorder="1" applyAlignment="1" applyProtection="1">
      <alignment horizontal="center"/>
      <protection hidden="1"/>
    </xf>
    <xf numFmtId="164" fontId="0" fillId="0" borderId="5" xfId="0" applyNumberFormat="1" applyFill="1" applyBorder="1" applyAlignment="1" applyProtection="1">
      <alignment horizontal="center"/>
      <protection hidden="1"/>
    </xf>
    <xf numFmtId="164" fontId="0" fillId="0" borderId="0" xfId="0" applyNumberFormat="1" applyFill="1" applyBorder="1" applyAlignment="1" applyProtection="1">
      <alignment horizontal="center"/>
      <protection hidden="1"/>
    </xf>
    <xf numFmtId="164" fontId="0" fillId="0" borderId="6" xfId="0" applyNumberFormat="1" applyFill="1" applyBorder="1" applyAlignment="1" applyProtection="1">
      <alignment horizontal="center"/>
      <protection hidden="1"/>
    </xf>
    <xf numFmtId="164" fontId="0" fillId="0" borderId="13" xfId="0" applyNumberFormat="1" applyFill="1" applyBorder="1" applyAlignment="1" applyProtection="1">
      <alignment horizontal="center"/>
      <protection hidden="1"/>
    </xf>
    <xf numFmtId="164" fontId="0" fillId="0" borderId="7" xfId="0" applyNumberFormat="1" applyFill="1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3" xfId="0" applyBorder="1" applyProtection="1">
      <protection hidden="1"/>
    </xf>
    <xf numFmtId="1" fontId="0" fillId="0" borderId="0" xfId="0" applyNumberFormat="1" applyBorder="1" applyProtection="1">
      <protection hidden="1"/>
    </xf>
    <xf numFmtId="0" fontId="0" fillId="0" borderId="0" xfId="0" applyBorder="1" applyProtection="1">
      <protection hidden="1"/>
    </xf>
    <xf numFmtId="164" fontId="0" fillId="0" borderId="6" xfId="0" applyNumberFormat="1" applyBorder="1" applyProtection="1">
      <protection hidden="1"/>
    </xf>
    <xf numFmtId="0" fontId="0" fillId="0" borderId="13" xfId="0" applyBorder="1" applyProtection="1">
      <protection hidden="1"/>
    </xf>
    <xf numFmtId="0" fontId="1" fillId="0" borderId="8" xfId="0" applyFont="1" applyFill="1" applyBorder="1" applyProtection="1">
      <protection hidden="1"/>
    </xf>
    <xf numFmtId="0" fontId="1" fillId="0" borderId="8" xfId="0" applyFont="1" applyFill="1" applyBorder="1" applyAlignment="1" applyProtection="1">
      <alignment horizontal="center"/>
      <protection hidden="1"/>
    </xf>
    <xf numFmtId="0" fontId="0" fillId="0" borderId="9" xfId="0" applyFill="1" applyBorder="1" applyProtection="1">
      <protection hidden="1"/>
    </xf>
    <xf numFmtId="0" fontId="0" fillId="0" borderId="10" xfId="0" applyFill="1" applyBorder="1" applyAlignment="1" applyProtection="1">
      <alignment horizontal="center"/>
      <protection hidden="1"/>
    </xf>
    <xf numFmtId="0" fontId="1" fillId="0" borderId="9" xfId="0" applyFont="1" applyFill="1" applyBorder="1" applyProtection="1">
      <protection hidden="1"/>
    </xf>
    <xf numFmtId="0" fontId="0" fillId="0" borderId="11" xfId="0" applyFill="1" applyBorder="1" applyProtection="1">
      <protection hidden="1"/>
    </xf>
    <xf numFmtId="0" fontId="0" fillId="0" borderId="12" xfId="0" applyFill="1" applyBorder="1" applyAlignment="1" applyProtection="1">
      <alignment horizontal="center"/>
      <protection hidden="1"/>
    </xf>
    <xf numFmtId="0" fontId="0" fillId="0" borderId="5" xfId="0" applyFill="1" applyBorder="1" applyProtection="1">
      <protection hidden="1"/>
    </xf>
    <xf numFmtId="0" fontId="0" fillId="4" borderId="0" xfId="0" applyFill="1" applyAlignment="1" applyProtection="1">
      <alignment vertical="center" wrapText="1"/>
      <protection hidden="1"/>
    </xf>
    <xf numFmtId="0" fontId="1" fillId="2" borderId="1" xfId="0" quotePrefix="1" applyFont="1" applyFill="1" applyBorder="1" applyAlignment="1" applyProtection="1">
      <alignment vertical="center"/>
      <protection hidden="1"/>
    </xf>
    <xf numFmtId="0" fontId="1" fillId="3" borderId="1" xfId="0" quotePrefix="1" applyFont="1" applyFill="1" applyBorder="1" applyAlignment="1" applyProtection="1">
      <alignment vertical="center"/>
      <protection hidden="1"/>
    </xf>
    <xf numFmtId="0" fontId="5" fillId="3" borderId="17" xfId="0" applyFont="1" applyFill="1" applyBorder="1" applyAlignment="1" applyProtection="1">
      <alignment horizontal="left" vertical="center"/>
      <protection hidden="1"/>
    </xf>
    <xf numFmtId="0" fontId="0" fillId="4" borderId="0" xfId="0" applyFill="1" applyAlignment="1" applyProtection="1">
      <alignment vertical="center" wrapText="1"/>
      <protection hidden="1"/>
    </xf>
    <xf numFmtId="0" fontId="4" fillId="4" borderId="0" xfId="0" applyFont="1" applyFill="1" applyAlignment="1" applyProtection="1">
      <alignment vertical="center" wrapText="1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35941</xdr:rowOff>
    </xdr:from>
    <xdr:to>
      <xdr:col>0</xdr:col>
      <xdr:colOff>6496049</xdr:colOff>
      <xdr:row>26</xdr:row>
      <xdr:rowOff>20054</xdr:rowOff>
    </xdr:to>
    <xdr:pic>
      <xdr:nvPicPr>
        <xdr:cNvPr id="2" name="Grafik 1" descr="Unbenann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940816"/>
          <a:ext cx="6496049" cy="3603613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7</xdr:row>
      <xdr:rowOff>44894</xdr:rowOff>
    </xdr:from>
    <xdr:to>
      <xdr:col>1</xdr:col>
      <xdr:colOff>6000749</xdr:colOff>
      <xdr:row>26</xdr:row>
      <xdr:rowOff>19899</xdr:rowOff>
    </xdr:to>
    <xdr:pic>
      <xdr:nvPicPr>
        <xdr:cNvPr id="3" name="Grafik 2" descr="Unbenann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43700" y="1711769"/>
          <a:ext cx="5972174" cy="3594505"/>
        </a:xfrm>
        <a:prstGeom prst="rect">
          <a:avLst/>
        </a:prstGeom>
      </xdr:spPr>
    </xdr:pic>
    <xdr:clientData/>
  </xdr:twoCellAnchor>
  <xdr:twoCellAnchor editAs="oneCell">
    <xdr:from>
      <xdr:col>1</xdr:col>
      <xdr:colOff>3476625</xdr:colOff>
      <xdr:row>0</xdr:row>
      <xdr:rowOff>114300</xdr:rowOff>
    </xdr:from>
    <xdr:to>
      <xdr:col>1</xdr:col>
      <xdr:colOff>5996625</xdr:colOff>
      <xdr:row>1</xdr:row>
      <xdr:rowOff>5952</xdr:rowOff>
    </xdr:to>
    <xdr:pic>
      <xdr:nvPicPr>
        <xdr:cNvPr id="5" name="Grafik 4" descr="TEM_R_Pantone1655C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0191750" y="114300"/>
          <a:ext cx="2520000" cy="225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3772460</xdr:colOff>
      <xdr:row>0</xdr:row>
      <xdr:rowOff>74520</xdr:rowOff>
    </xdr:from>
    <xdr:to>
      <xdr:col>2</xdr:col>
      <xdr:colOff>1977635</xdr:colOff>
      <xdr:row>0</xdr:row>
      <xdr:rowOff>298053</xdr:rowOff>
    </xdr:to>
    <xdr:pic>
      <xdr:nvPicPr>
        <xdr:cNvPr id="2" name="Grafik 1" descr="TEM_R_Pantone1655C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7287185" y="74520"/>
          <a:ext cx="2520000" cy="223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100852</xdr:colOff>
      <xdr:row>40</xdr:row>
      <xdr:rowOff>22413</xdr:rowOff>
    </xdr:from>
    <xdr:to>
      <xdr:col>2</xdr:col>
      <xdr:colOff>481316</xdr:colOff>
      <xdr:row>48</xdr:row>
      <xdr:rowOff>126306</xdr:rowOff>
    </xdr:to>
    <xdr:pic>
      <xdr:nvPicPr>
        <xdr:cNvPr id="3" name="Grafik 2" descr="FT_calculator_2parts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0852" y="3249707"/>
          <a:ext cx="8210014" cy="1717540"/>
        </a:xfrm>
        <a:prstGeom prst="rect">
          <a:avLst/>
        </a:prstGeom>
      </xdr:spPr>
    </xdr:pic>
    <xdr:clientData/>
  </xdr:twoCellAnchor>
  <xdr:twoCellAnchor editAs="oneCell">
    <xdr:from>
      <xdr:col>0</xdr:col>
      <xdr:colOff>313765</xdr:colOff>
      <xdr:row>64</xdr:row>
      <xdr:rowOff>56030</xdr:rowOff>
    </xdr:from>
    <xdr:to>
      <xdr:col>1</xdr:col>
      <xdr:colOff>2619628</xdr:colOff>
      <xdr:row>71</xdr:row>
      <xdr:rowOff>130196</xdr:rowOff>
    </xdr:to>
    <xdr:pic>
      <xdr:nvPicPr>
        <xdr:cNvPr id="4" name="Grafik 3" descr="FT_calculator_additional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3765" y="12505765"/>
          <a:ext cx="5820588" cy="1486108"/>
        </a:xfrm>
        <a:prstGeom prst="rect">
          <a:avLst/>
        </a:prstGeom>
      </xdr:spPr>
    </xdr:pic>
    <xdr:clientData/>
  </xdr:twoCellAnchor>
  <xdr:twoCellAnchor editAs="oneCell">
    <xdr:from>
      <xdr:col>0</xdr:col>
      <xdr:colOff>112058</xdr:colOff>
      <xdr:row>86</xdr:row>
      <xdr:rowOff>127747</xdr:rowOff>
    </xdr:from>
    <xdr:to>
      <xdr:col>1</xdr:col>
      <xdr:colOff>2427447</xdr:colOff>
      <xdr:row>93</xdr:row>
      <xdr:rowOff>192386</xdr:rowOff>
    </xdr:to>
    <xdr:pic>
      <xdr:nvPicPr>
        <xdr:cNvPr id="5" name="Grafik 4" descr="FT_calculator_max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2058" y="17701372"/>
          <a:ext cx="5830114" cy="1464814"/>
        </a:xfrm>
        <a:prstGeom prst="rect">
          <a:avLst/>
        </a:prstGeom>
      </xdr:spPr>
    </xdr:pic>
    <xdr:clientData/>
  </xdr:twoCellAnchor>
  <xdr:twoCellAnchor editAs="oneCell">
    <xdr:from>
      <xdr:col>0</xdr:col>
      <xdr:colOff>112060</xdr:colOff>
      <xdr:row>14</xdr:row>
      <xdr:rowOff>44262</xdr:rowOff>
    </xdr:from>
    <xdr:to>
      <xdr:col>1</xdr:col>
      <xdr:colOff>3942136</xdr:colOff>
      <xdr:row>24</xdr:row>
      <xdr:rowOff>102263</xdr:rowOff>
    </xdr:to>
    <xdr:pic>
      <xdr:nvPicPr>
        <xdr:cNvPr id="7" name="Grafik 6" descr="FT_calculator_linear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2060" y="3320862"/>
          <a:ext cx="7344801" cy="205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76202</xdr:rowOff>
    </xdr:from>
    <xdr:to>
      <xdr:col>1</xdr:col>
      <xdr:colOff>3701100</xdr:colOff>
      <xdr:row>0</xdr:row>
      <xdr:rowOff>299735</xdr:rowOff>
    </xdr:to>
    <xdr:pic>
      <xdr:nvPicPr>
        <xdr:cNvPr id="2" name="Grafik 1" descr="TEM_R_Pantone1655C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762375" y="76202"/>
          <a:ext cx="2520000" cy="223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tabSelected="1" workbookViewId="0"/>
  </sheetViews>
  <sheetFormatPr baseColWidth="10" defaultRowHeight="15" x14ac:dyDescent="0.25"/>
  <cols>
    <col min="1" max="1" width="100.7109375" style="3" customWidth="1"/>
    <col min="2" max="2" width="90.7109375" style="3" customWidth="1"/>
    <col min="3" max="16384" width="11.42578125" style="3"/>
  </cols>
  <sheetData>
    <row r="1" spans="1:1" ht="26.25" x14ac:dyDescent="0.25">
      <c r="A1" s="1" t="s">
        <v>86</v>
      </c>
    </row>
    <row r="5" spans="1:1" x14ac:dyDescent="0.25">
      <c r="A5" s="3" t="s">
        <v>107</v>
      </c>
    </row>
    <row r="28" spans="1:2" ht="23.25" x14ac:dyDescent="0.25">
      <c r="A28" s="46" t="s">
        <v>90</v>
      </c>
      <c r="B28" s="46" t="s">
        <v>91</v>
      </c>
    </row>
  </sheetData>
  <sheetProtection algorithmName="SHA-512" hashValue="ce8OL5RNUHrHUleSyYOGF21BV9mkCUpXWA7kAk9sepH+OqWP7vZ68zeodjlR4Q+7zJZAYJnPyNa3mmYPBJUlIg==" saltValue="Mjud3v4VTZhhRCmUrpS4cA==" spinCount="100000" sheet="1" objects="1" scenarios="1"/>
  <printOptions horizontalCentered="1"/>
  <pageMargins left="0.59055118110236227" right="0.59055118110236227" top="0.70866141732283472" bottom="0.47244094488188981" header="0.31496062992125984" footer="0.31496062992125984"/>
  <pageSetup paperSize="9" scale="70" fitToHeight="0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4"/>
  <sheetViews>
    <sheetView zoomScaleNormal="100" workbookViewId="0">
      <selection activeCell="B74" sqref="B74"/>
    </sheetView>
  </sheetViews>
  <sheetFormatPr baseColWidth="10" defaultRowHeight="15" x14ac:dyDescent="0.25"/>
  <cols>
    <col min="1" max="1" width="52.7109375" style="3" customWidth="1"/>
    <col min="2" max="2" width="64.7109375" style="2" customWidth="1"/>
    <col min="3" max="3" width="32.28515625" style="2" customWidth="1"/>
    <col min="4" max="4" width="43.28515625" style="3" bestFit="1" customWidth="1"/>
    <col min="5" max="5" width="11.42578125" style="3"/>
    <col min="6" max="6" width="14.7109375" style="3" bestFit="1" customWidth="1"/>
    <col min="7" max="16384" width="11.42578125" style="3"/>
  </cols>
  <sheetData>
    <row r="1" spans="1:2" ht="26.25" x14ac:dyDescent="0.25">
      <c r="A1" s="1" t="s">
        <v>84</v>
      </c>
    </row>
    <row r="3" spans="1:2" ht="21" x14ac:dyDescent="0.25">
      <c r="A3" s="4" t="s">
        <v>70</v>
      </c>
    </row>
    <row r="4" spans="1:2" x14ac:dyDescent="0.25">
      <c r="A4" s="92" t="s">
        <v>97</v>
      </c>
      <c r="B4" s="92"/>
    </row>
    <row r="5" spans="1:2" x14ac:dyDescent="0.25">
      <c r="A5" s="3" t="s">
        <v>110</v>
      </c>
      <c r="B5" s="88"/>
    </row>
    <row r="6" spans="1:2" x14ac:dyDescent="0.25">
      <c r="A6" s="3" t="s">
        <v>109</v>
      </c>
    </row>
    <row r="8" spans="1:2" ht="21.75" thickBot="1" x14ac:dyDescent="0.3">
      <c r="A8" s="4" t="s">
        <v>83</v>
      </c>
    </row>
    <row r="9" spans="1:2" ht="17.100000000000001" customHeight="1" thickBot="1" x14ac:dyDescent="0.3">
      <c r="A9" s="89" t="s">
        <v>112</v>
      </c>
      <c r="B9" s="90" t="s">
        <v>111</v>
      </c>
    </row>
    <row r="10" spans="1:2" x14ac:dyDescent="0.25">
      <c r="B10" s="5"/>
    </row>
    <row r="11" spans="1:2" x14ac:dyDescent="0.25">
      <c r="B11" s="5"/>
    </row>
    <row r="12" spans="1:2" ht="21" x14ac:dyDescent="0.25">
      <c r="A12" s="4" t="s">
        <v>76</v>
      </c>
      <c r="B12" s="5"/>
    </row>
    <row r="13" spans="1:2" ht="15.75" x14ac:dyDescent="0.25">
      <c r="A13" s="18" t="s">
        <v>103</v>
      </c>
      <c r="B13" s="5"/>
    </row>
    <row r="14" spans="1:2" ht="15.75" x14ac:dyDescent="0.25">
      <c r="A14" s="18" t="s">
        <v>79</v>
      </c>
      <c r="B14" s="5"/>
    </row>
    <row r="15" spans="1:2" ht="15.75" x14ac:dyDescent="0.25">
      <c r="A15" s="18"/>
      <c r="B15" s="5"/>
    </row>
    <row r="16" spans="1:2" ht="15.75" x14ac:dyDescent="0.25">
      <c r="A16" s="18"/>
      <c r="B16" s="5"/>
    </row>
    <row r="17" spans="1:2" ht="15.75" x14ac:dyDescent="0.25">
      <c r="A17" s="18"/>
      <c r="B17" s="5"/>
    </row>
    <row r="18" spans="1:2" ht="15.75" x14ac:dyDescent="0.25">
      <c r="A18" s="18"/>
      <c r="B18" s="5"/>
    </row>
    <row r="19" spans="1:2" ht="15.75" x14ac:dyDescent="0.25">
      <c r="A19" s="18"/>
      <c r="B19" s="5"/>
    </row>
    <row r="20" spans="1:2" ht="15.75" x14ac:dyDescent="0.25">
      <c r="A20" s="18"/>
      <c r="B20" s="5"/>
    </row>
    <row r="21" spans="1:2" ht="15.75" x14ac:dyDescent="0.25">
      <c r="A21" s="18"/>
      <c r="B21" s="5"/>
    </row>
    <row r="22" spans="1:2" ht="15.75" x14ac:dyDescent="0.25">
      <c r="A22" s="18"/>
      <c r="B22" s="5"/>
    </row>
    <row r="23" spans="1:2" ht="15.75" x14ac:dyDescent="0.25">
      <c r="A23" s="18"/>
      <c r="B23" s="5"/>
    </row>
    <row r="24" spans="1:2" ht="15.75" x14ac:dyDescent="0.25">
      <c r="A24" s="18"/>
      <c r="B24" s="5"/>
    </row>
    <row r="25" spans="1:2" ht="15.75" thickBot="1" x14ac:dyDescent="0.3">
      <c r="B25" s="5"/>
    </row>
    <row r="26" spans="1:2" ht="15.75" thickBot="1" x14ac:dyDescent="0.3">
      <c r="A26" s="40" t="s">
        <v>81</v>
      </c>
      <c r="B26" s="41">
        <v>500</v>
      </c>
    </row>
    <row r="27" spans="1:2" ht="15.75" thickBot="1" x14ac:dyDescent="0.3">
      <c r="A27" s="19"/>
      <c r="B27" s="20"/>
    </row>
    <row r="28" spans="1:2" x14ac:dyDescent="0.25">
      <c r="A28" s="9" t="s">
        <v>72</v>
      </c>
      <c r="B28" s="10" t="s">
        <v>73</v>
      </c>
    </row>
    <row r="29" spans="1:2" x14ac:dyDescent="0.25">
      <c r="A29" s="11" t="s">
        <v>2</v>
      </c>
      <c r="B29" s="17">
        <v>15</v>
      </c>
    </row>
    <row r="30" spans="1:2" x14ac:dyDescent="0.25">
      <c r="A30" s="11" t="s">
        <v>3</v>
      </c>
      <c r="B30" s="17">
        <v>15</v>
      </c>
    </row>
    <row r="31" spans="1:2" x14ac:dyDescent="0.25">
      <c r="A31" s="11" t="s">
        <v>4</v>
      </c>
      <c r="B31" s="17">
        <v>10</v>
      </c>
    </row>
    <row r="32" spans="1:2" x14ac:dyDescent="0.25">
      <c r="A32" s="11" t="s">
        <v>5</v>
      </c>
      <c r="B32" s="17">
        <v>10</v>
      </c>
    </row>
    <row r="33" spans="1:3" x14ac:dyDescent="0.25">
      <c r="A33" s="11" t="s">
        <v>74</v>
      </c>
      <c r="B33" s="21">
        <f>'myTEM Free Topology Parameters'!B5</f>
        <v>15.495900208333332</v>
      </c>
    </row>
    <row r="34" spans="1:3" ht="21.75" thickBot="1" x14ac:dyDescent="0.3">
      <c r="A34" s="43" t="s">
        <v>80</v>
      </c>
      <c r="B34" s="13" t="str">
        <f>IFERROR(IF((AND((SUM(B29:B32)&lt;51),(24-'myTEM Free Topology Parameters'!B6)/'myTEM Free Topology Parameters'!B44*1000 &gt; 0,'myTEM Free Topology Parameters'!B6&lt;24.01)),'myTEM Free Topology Parameters'!B53, 'myTEM Free Topology Parameters'!A49), 'myTEM Free Topology Parameters'!A49)</f>
        <v>"MTPOW-100 36W 1.5A"</v>
      </c>
    </row>
    <row r="35" spans="1:3" x14ac:dyDescent="0.25">
      <c r="B35" s="5"/>
    </row>
    <row r="36" spans="1:3" x14ac:dyDescent="0.25">
      <c r="B36" s="5"/>
    </row>
    <row r="37" spans="1:3" ht="21" x14ac:dyDescent="0.25">
      <c r="A37" s="4" t="s">
        <v>77</v>
      </c>
      <c r="B37" s="22"/>
      <c r="C37" s="14"/>
    </row>
    <row r="38" spans="1:3" ht="15.75" x14ac:dyDescent="0.25">
      <c r="A38" s="18" t="s">
        <v>102</v>
      </c>
      <c r="B38" s="22"/>
      <c r="C38" s="14"/>
    </row>
    <row r="39" spans="1:3" ht="15.75" x14ac:dyDescent="0.25">
      <c r="A39" s="18" t="s">
        <v>104</v>
      </c>
      <c r="B39" s="22"/>
      <c r="C39" s="14"/>
    </row>
    <row r="40" spans="1:3" ht="15.75" x14ac:dyDescent="0.25">
      <c r="A40" s="18" t="s">
        <v>105</v>
      </c>
      <c r="B40" s="22"/>
      <c r="C40" s="14"/>
    </row>
    <row r="41" spans="1:3" ht="15.75" x14ac:dyDescent="0.25">
      <c r="A41" s="18"/>
      <c r="B41" s="22"/>
      <c r="C41" s="14"/>
    </row>
    <row r="42" spans="1:3" ht="15.75" x14ac:dyDescent="0.25">
      <c r="A42" s="18"/>
      <c r="B42" s="22"/>
      <c r="C42" s="14"/>
    </row>
    <row r="43" spans="1:3" ht="15.75" x14ac:dyDescent="0.25">
      <c r="A43" s="18"/>
      <c r="B43" s="22"/>
      <c r="C43" s="14"/>
    </row>
    <row r="44" spans="1:3" ht="15.75" x14ac:dyDescent="0.25">
      <c r="A44" s="18"/>
      <c r="B44" s="22"/>
      <c r="C44" s="14"/>
    </row>
    <row r="45" spans="1:3" ht="15.75" x14ac:dyDescent="0.25">
      <c r="A45" s="18"/>
      <c r="B45" s="22"/>
      <c r="C45" s="14"/>
    </row>
    <row r="46" spans="1:3" ht="15.75" x14ac:dyDescent="0.25">
      <c r="A46" s="18"/>
      <c r="B46" s="22"/>
      <c r="C46" s="14"/>
    </row>
    <row r="47" spans="1:3" ht="15.75" x14ac:dyDescent="0.25">
      <c r="A47" s="18"/>
      <c r="B47" s="22"/>
      <c r="C47" s="14"/>
    </row>
    <row r="48" spans="1:3" ht="15.75" x14ac:dyDescent="0.25">
      <c r="A48" s="18"/>
      <c r="B48" s="22"/>
      <c r="C48" s="14"/>
    </row>
    <row r="49" spans="1:4" ht="16.5" thickBot="1" x14ac:dyDescent="0.3">
      <c r="A49" s="18"/>
      <c r="B49" s="22"/>
      <c r="C49" s="14"/>
    </row>
    <row r="50" spans="1:4" x14ac:dyDescent="0.25">
      <c r="A50" s="36"/>
      <c r="B50" s="37" t="s">
        <v>25</v>
      </c>
      <c r="C50" s="34" t="s">
        <v>26</v>
      </c>
    </row>
    <row r="51" spans="1:4" ht="15.75" thickBot="1" x14ac:dyDescent="0.3">
      <c r="A51" s="38" t="s">
        <v>81</v>
      </c>
      <c r="B51" s="39">
        <v>150</v>
      </c>
      <c r="C51" s="35">
        <v>100</v>
      </c>
    </row>
    <row r="52" spans="1:4" ht="15.75" thickBot="1" x14ac:dyDescent="0.3">
      <c r="A52" s="19"/>
      <c r="B52" s="20"/>
      <c r="C52" s="20"/>
    </row>
    <row r="53" spans="1:4" x14ac:dyDescent="0.25">
      <c r="A53" s="9" t="s">
        <v>72</v>
      </c>
      <c r="B53" s="33" t="s">
        <v>73</v>
      </c>
      <c r="C53" s="10" t="s">
        <v>73</v>
      </c>
    </row>
    <row r="54" spans="1:4" x14ac:dyDescent="0.25">
      <c r="A54" s="11" t="s">
        <v>2</v>
      </c>
      <c r="B54" s="31">
        <v>10</v>
      </c>
      <c r="C54" s="17">
        <v>5</v>
      </c>
    </row>
    <row r="55" spans="1:4" x14ac:dyDescent="0.25">
      <c r="A55" s="11" t="s">
        <v>3</v>
      </c>
      <c r="B55" s="31">
        <v>10</v>
      </c>
      <c r="C55" s="17">
        <v>5</v>
      </c>
    </row>
    <row r="56" spans="1:4" x14ac:dyDescent="0.25">
      <c r="A56" s="11" t="s">
        <v>4</v>
      </c>
      <c r="B56" s="31">
        <v>5</v>
      </c>
      <c r="C56" s="17">
        <v>5</v>
      </c>
    </row>
    <row r="57" spans="1:4" x14ac:dyDescent="0.25">
      <c r="A57" s="11" t="s">
        <v>5</v>
      </c>
      <c r="B57" s="31">
        <v>5</v>
      </c>
      <c r="C57" s="17">
        <v>5</v>
      </c>
    </row>
    <row r="58" spans="1:4" x14ac:dyDescent="0.25">
      <c r="A58" s="11" t="s">
        <v>74</v>
      </c>
      <c r="B58" s="23">
        <f>'myTEM Free Topology Parameters'!B11</f>
        <v>19.253594364231464</v>
      </c>
      <c r="C58" s="44"/>
    </row>
    <row r="59" spans="1:4" ht="21.75" thickBot="1" x14ac:dyDescent="0.3">
      <c r="A59" s="43" t="s">
        <v>80</v>
      </c>
      <c r="B59" s="24" t="str">
        <f>IFERROR(IF((AND((SUM(B54:C57)&lt;51),(24-'myTEM Free Topology Parameters'!B12)/'myTEM Free Topology Parameters'!B44*1000 &gt; 0,'myTEM Free Topology Parameters'!B12&lt;24.01)),'myTEM Free Topology Parameters'!B50, 'myTEM Free Topology Parameters'!A49), 'myTEM Free Topology Parameters'!A49)</f>
        <v>"MTPOW-100 36W 1.5A"</v>
      </c>
      <c r="C59" s="45"/>
      <c r="D59" s="20"/>
    </row>
    <row r="60" spans="1:4" x14ac:dyDescent="0.25">
      <c r="B60" s="3"/>
      <c r="C60" s="3"/>
    </row>
    <row r="61" spans="1:4" x14ac:dyDescent="0.25">
      <c r="B61" s="3"/>
      <c r="C61" s="3"/>
    </row>
    <row r="62" spans="1:4" ht="21" x14ac:dyDescent="0.25">
      <c r="A62" s="4" t="s">
        <v>78</v>
      </c>
      <c r="C62" s="25"/>
    </row>
    <row r="63" spans="1:4" ht="15.75" x14ac:dyDescent="0.25">
      <c r="A63" s="18" t="s">
        <v>99</v>
      </c>
      <c r="C63" s="25"/>
    </row>
    <row r="64" spans="1:4" ht="15.75" x14ac:dyDescent="0.25">
      <c r="A64" s="18" t="s">
        <v>51</v>
      </c>
      <c r="C64" s="25"/>
    </row>
    <row r="65" spans="1:3" ht="15.75" x14ac:dyDescent="0.25">
      <c r="A65" s="18"/>
      <c r="C65" s="25"/>
    </row>
    <row r="66" spans="1:3" ht="15.75" x14ac:dyDescent="0.25">
      <c r="A66" s="18"/>
      <c r="C66" s="25"/>
    </row>
    <row r="67" spans="1:3" ht="15.75" x14ac:dyDescent="0.25">
      <c r="A67" s="18"/>
      <c r="C67" s="25"/>
    </row>
    <row r="68" spans="1:3" ht="15.75" x14ac:dyDescent="0.25">
      <c r="A68" s="18"/>
      <c r="C68" s="25"/>
    </row>
    <row r="69" spans="1:3" ht="15.75" x14ac:dyDescent="0.25">
      <c r="A69" s="18"/>
      <c r="C69" s="25"/>
    </row>
    <row r="70" spans="1:3" ht="15.75" x14ac:dyDescent="0.25">
      <c r="A70" s="18"/>
      <c r="C70" s="25"/>
    </row>
    <row r="71" spans="1:3" ht="15.75" x14ac:dyDescent="0.25">
      <c r="A71" s="18"/>
      <c r="C71" s="25"/>
    </row>
    <row r="72" spans="1:3" ht="15.75" thickBot="1" x14ac:dyDescent="0.3">
      <c r="C72" s="25"/>
    </row>
    <row r="73" spans="1:3" ht="15.75" thickBot="1" x14ac:dyDescent="0.3">
      <c r="A73" s="40" t="s">
        <v>81</v>
      </c>
      <c r="B73" s="32">
        <v>200</v>
      </c>
      <c r="C73" s="25"/>
    </row>
    <row r="74" spans="1:3" ht="15.75" thickBot="1" x14ac:dyDescent="0.3">
      <c r="A74" s="19"/>
      <c r="B74" s="20"/>
      <c r="C74" s="26"/>
    </row>
    <row r="75" spans="1:3" x14ac:dyDescent="0.25">
      <c r="A75" s="9" t="s">
        <v>117</v>
      </c>
      <c r="B75" s="10" t="s">
        <v>118</v>
      </c>
      <c r="C75" s="20"/>
    </row>
    <row r="76" spans="1:3" x14ac:dyDescent="0.25">
      <c r="A76" s="11" t="s">
        <v>114</v>
      </c>
      <c r="B76" s="17">
        <v>20</v>
      </c>
      <c r="C76" s="25"/>
    </row>
    <row r="77" spans="1:3" x14ac:dyDescent="0.25">
      <c r="A77" s="11" t="s">
        <v>113</v>
      </c>
      <c r="B77" s="17">
        <v>10</v>
      </c>
      <c r="C77" s="20"/>
    </row>
    <row r="78" spans="1:3" x14ac:dyDescent="0.25">
      <c r="A78" s="11" t="s">
        <v>115</v>
      </c>
      <c r="B78" s="17">
        <v>10</v>
      </c>
      <c r="C78" s="20"/>
    </row>
    <row r="79" spans="1:3" x14ac:dyDescent="0.25">
      <c r="A79" s="11" t="s">
        <v>116</v>
      </c>
      <c r="B79" s="17">
        <v>10</v>
      </c>
      <c r="C79" s="20"/>
    </row>
    <row r="80" spans="1:3" ht="21" x14ac:dyDescent="0.25">
      <c r="A80" s="27" t="s">
        <v>80</v>
      </c>
      <c r="B80" s="91" t="str">
        <f>IFERROR(IF(AND(B73&gt;0,SUM(B76:B79)&lt;51),'myTEM Free Topology Parameters'!B52,'myTEM Free Topology Parameters'!A49),'myTEM Free Topology Parameters'!A49)</f>
        <v>"MTPOW-100 36W 1.5A"</v>
      </c>
      <c r="C80" s="20"/>
    </row>
    <row r="81" spans="1:3" ht="21.75" thickBot="1" x14ac:dyDescent="0.3">
      <c r="A81" s="28" t="s">
        <v>100</v>
      </c>
      <c r="B81" s="29" t="str">
        <f>IFERROR(IF('myTEM Free Topology Parameters'!C23=0,'myTEM Free Topology Parameters'!C24*2,""),'myTEM Free Topology Parameters'!A49)</f>
        <v/>
      </c>
      <c r="C81" s="20"/>
    </row>
    <row r="82" spans="1:3" x14ac:dyDescent="0.25">
      <c r="C82" s="20"/>
    </row>
    <row r="83" spans="1:3" x14ac:dyDescent="0.25">
      <c r="C83" s="20"/>
    </row>
    <row r="84" spans="1:3" ht="21" x14ac:dyDescent="0.25">
      <c r="A84" s="4" t="s">
        <v>93</v>
      </c>
      <c r="B84" s="22"/>
    </row>
    <row r="85" spans="1:3" ht="15.75" x14ac:dyDescent="0.25">
      <c r="A85" s="18" t="s">
        <v>106</v>
      </c>
      <c r="B85" s="22"/>
    </row>
    <row r="86" spans="1:3" ht="15.75" x14ac:dyDescent="0.25">
      <c r="A86" s="18" t="s">
        <v>79</v>
      </c>
      <c r="B86" s="22"/>
    </row>
    <row r="87" spans="1:3" ht="15.75" x14ac:dyDescent="0.25">
      <c r="A87" s="18"/>
      <c r="B87" s="22"/>
    </row>
    <row r="88" spans="1:3" ht="15.75" x14ac:dyDescent="0.25">
      <c r="A88" s="18"/>
      <c r="B88" s="22"/>
    </row>
    <row r="89" spans="1:3" ht="15.75" x14ac:dyDescent="0.25">
      <c r="A89" s="18"/>
      <c r="B89" s="22"/>
    </row>
    <row r="90" spans="1:3" ht="15.75" x14ac:dyDescent="0.25">
      <c r="A90" s="18"/>
      <c r="B90" s="22"/>
    </row>
    <row r="91" spans="1:3" ht="15.75" x14ac:dyDescent="0.25">
      <c r="A91" s="18"/>
      <c r="B91" s="22"/>
    </row>
    <row r="92" spans="1:3" ht="15.75" x14ac:dyDescent="0.25">
      <c r="A92" s="18"/>
      <c r="B92" s="22"/>
    </row>
    <row r="93" spans="1:3" ht="15.75" x14ac:dyDescent="0.25">
      <c r="A93" s="18"/>
      <c r="B93" s="22"/>
    </row>
    <row r="94" spans="1:3" ht="15.75" x14ac:dyDescent="0.25">
      <c r="A94" s="18"/>
      <c r="B94" s="22"/>
    </row>
    <row r="95" spans="1:3" ht="16.5" thickBot="1" x14ac:dyDescent="0.3">
      <c r="A95" s="18"/>
      <c r="B95" s="22"/>
    </row>
    <row r="96" spans="1:3" ht="15.75" thickBot="1" x14ac:dyDescent="0.3">
      <c r="A96" s="40" t="s">
        <v>81</v>
      </c>
      <c r="B96" s="30">
        <f>IFERROR(('myTEM Free Topology Parameters'!B16)/'myTEM Free Topology Parameters'!B44*1000,'myTEM Free Topology Parameters'!A49)</f>
        <v>490.5668090673098</v>
      </c>
    </row>
    <row r="97" spans="1:2" ht="15.75" thickBot="1" x14ac:dyDescent="0.3">
      <c r="A97" s="19"/>
      <c r="B97" s="20"/>
    </row>
    <row r="98" spans="1:2" x14ac:dyDescent="0.25">
      <c r="A98" s="9" t="s">
        <v>117</v>
      </c>
      <c r="B98" s="10" t="s">
        <v>118</v>
      </c>
    </row>
    <row r="99" spans="1:2" x14ac:dyDescent="0.25">
      <c r="A99" s="11" t="s">
        <v>114</v>
      </c>
      <c r="B99" s="17">
        <v>0</v>
      </c>
    </row>
    <row r="100" spans="1:2" x14ac:dyDescent="0.25">
      <c r="A100" s="11" t="s">
        <v>113</v>
      </c>
      <c r="B100" s="17">
        <v>0</v>
      </c>
    </row>
    <row r="101" spans="1:2" x14ac:dyDescent="0.25">
      <c r="A101" s="11" t="s">
        <v>115</v>
      </c>
      <c r="B101" s="17">
        <v>21</v>
      </c>
    </row>
    <row r="102" spans="1:2" x14ac:dyDescent="0.25">
      <c r="A102" s="11" t="s">
        <v>116</v>
      </c>
      <c r="B102" s="17">
        <v>0</v>
      </c>
    </row>
    <row r="103" spans="1:2" x14ac:dyDescent="0.25">
      <c r="A103" s="11" t="s">
        <v>74</v>
      </c>
      <c r="B103" s="21">
        <f>IFERROR('myTEM Free Topology Parameters'!B20,'myTEM Free Topology Parameters'!A49)</f>
        <v>8.120000000000001</v>
      </c>
    </row>
    <row r="104" spans="1:2" ht="21.75" thickBot="1" x14ac:dyDescent="0.3">
      <c r="A104" s="43" t="s">
        <v>75</v>
      </c>
      <c r="B104" s="13" t="str">
        <f>IFERROR(IF(AND(B96&gt; 0,SUM(B99:B102)&lt;51),'myTEM Free Topology Parameters'!B51, 'myTEM Free Topology Parameters'!A49),'myTEM Free Topology Parameters'!A49)</f>
        <v>"MTPOW-100 36W 1.5A"</v>
      </c>
    </row>
  </sheetData>
  <sheetProtection algorithmName="SHA-512" hashValue="THCiIlTahnWihcwztJKZsQwX2+eT/FyURJ0LknzImKbKfoLi0tmDo50rKn3LJkJ6NCPVSpXYGYeqUe3sMC+S0Q==" saltValue="By8qWv5MOhNKTCANFDceWw==" spinCount="100000" sheet="1" objects="1" scenarios="1"/>
  <protectedRanges>
    <protectedRange sqref="B76:B79" name="Bereich9"/>
    <protectedRange sqref="B73" name="Bereich8"/>
    <protectedRange sqref="B99:B102" name="Bereich7"/>
    <protectedRange sqref="C54:C57" name="Bereich6"/>
    <protectedRange sqref="C51" name="Bereich5"/>
    <protectedRange sqref="B54:B57" name="Bereich4"/>
    <protectedRange sqref="B51" name="Bereich3"/>
    <protectedRange sqref="B26" name="Bereich1"/>
    <protectedRange sqref="B29:B32" name="Bereich2"/>
  </protectedRanges>
  <mergeCells count="1">
    <mergeCell ref="A4:B4"/>
  </mergeCells>
  <printOptions horizontalCentered="1"/>
  <pageMargins left="0.59055118110236227" right="0.59055118110236227" top="0.70866141732283472" bottom="0.47244094488188981" header="0.31496062992125984" footer="0.31496062992125984"/>
  <pageSetup paperSize="9" scale="90" fitToHeight="0" orientation="landscape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85" zoomScaleNormal="85" workbookViewId="0"/>
  </sheetViews>
  <sheetFormatPr baseColWidth="10" defaultRowHeight="15" x14ac:dyDescent="0.25"/>
  <cols>
    <col min="1" max="1" width="71.42578125" style="48" bestFit="1" customWidth="1"/>
    <col min="2" max="2" width="46.28515625" style="48" bestFit="1" customWidth="1"/>
    <col min="3" max="3" width="8.42578125" style="48" customWidth="1"/>
    <col min="4" max="4" width="8.85546875" style="48" customWidth="1"/>
    <col min="5" max="5" width="11.42578125" style="48"/>
    <col min="6" max="6" width="58" style="48" bestFit="1" customWidth="1"/>
    <col min="7" max="8" width="54.28515625" style="48" bestFit="1" customWidth="1"/>
    <col min="9" max="16384" width="11.42578125" style="48"/>
  </cols>
  <sheetData>
    <row r="1" spans="1:8" ht="21" x14ac:dyDescent="0.35">
      <c r="A1" s="47" t="s">
        <v>22</v>
      </c>
      <c r="B1" s="64"/>
      <c r="C1" s="64"/>
      <c r="D1" s="64"/>
      <c r="E1" s="65"/>
    </row>
    <row r="2" spans="1:8" ht="21" x14ac:dyDescent="0.35">
      <c r="A2" s="47"/>
      <c r="B2" s="64"/>
      <c r="C2" s="64"/>
      <c r="D2" s="64"/>
      <c r="E2" s="65"/>
    </row>
    <row r="3" spans="1:8" ht="15.75" thickBot="1" x14ac:dyDescent="0.3">
      <c r="A3" s="66" t="s">
        <v>35</v>
      </c>
      <c r="B3" s="64"/>
      <c r="C3" s="64"/>
      <c r="D3" s="64"/>
      <c r="E3" s="65"/>
    </row>
    <row r="4" spans="1:8" x14ac:dyDescent="0.25">
      <c r="A4" s="58" t="s">
        <v>6</v>
      </c>
      <c r="B4" s="67"/>
      <c r="C4" s="68">
        <f>B44/1000*'myTEM Free Topology Rechner'!B26/2</f>
        <v>18.074999999999999</v>
      </c>
      <c r="D4" s="69"/>
      <c r="E4" s="65"/>
      <c r="G4" s="48" t="s">
        <v>54</v>
      </c>
    </row>
    <row r="5" spans="1:8" x14ac:dyDescent="0.25">
      <c r="A5" s="60" t="s">
        <v>27</v>
      </c>
      <c r="B5" s="69">
        <f>IFERROR(B6*B7,"Error! To many FT device or too long cables!")</f>
        <v>15.495900208333332</v>
      </c>
      <c r="C5" s="70">
        <f>'myTEM Free Topology Rechner'!B29*$B$36+'myTEM Free Topology Rechner'!B30*$B$37+'myTEM Free Topology Rechner'!B31*$B$38+'myTEM Free Topology Rechner'!B32*$B$39+IF(SUM('myTEM Free Topology Rechner'!B29:B32)&gt;0,B40,0)+IF('myTEM Free Topology Rechner'!B30&gt;=C41/2,C41*'myTEM Free Topology Parameters'!B41,IF('myTEM Free Topology Rechner'!B30&gt;0,2*'myTEM Free Topology Rechner'!B30*'myTEM Free Topology Parameters'!B41,IF('myTEM Free Topology Rechner'!B30=0,0,B41)))</f>
        <v>7.8199999999999994</v>
      </c>
      <c r="D5" s="69"/>
      <c r="E5" s="65"/>
      <c r="F5" s="48" t="s">
        <v>34</v>
      </c>
      <c r="G5" s="48" t="s">
        <v>68</v>
      </c>
    </row>
    <row r="6" spans="1:8" x14ac:dyDescent="0.25">
      <c r="A6" s="60" t="s">
        <v>23</v>
      </c>
      <c r="B6" s="69">
        <f>IFERROR(C6+C4*B7,"Error! To many FT device or too long cables!")</f>
        <v>23.778874999999999</v>
      </c>
      <c r="C6" s="70">
        <v>12</v>
      </c>
      <c r="D6" s="69"/>
      <c r="E6" s="65"/>
      <c r="F6" s="48" t="s">
        <v>64</v>
      </c>
      <c r="G6" s="48" t="s">
        <v>66</v>
      </c>
    </row>
    <row r="7" spans="1:8" ht="15.75" thickBot="1" x14ac:dyDescent="0.3">
      <c r="A7" s="62" t="s">
        <v>24</v>
      </c>
      <c r="B7" s="71">
        <f>IFERROR(C7+D7,"Error! To many FT device or too long cables!")</f>
        <v>0.65166666666666662</v>
      </c>
      <c r="C7" s="72">
        <f>IFERROR(C5/C6,"Error! To many FT device or too long cables!")</f>
        <v>0.65166666666666662</v>
      </c>
      <c r="D7" s="69"/>
      <c r="E7" s="65"/>
      <c r="F7" s="48" t="s">
        <v>29</v>
      </c>
      <c r="G7" s="48" t="s">
        <v>28</v>
      </c>
    </row>
    <row r="8" spans="1:8" x14ac:dyDescent="0.25">
      <c r="A8" s="66"/>
      <c r="B8" s="64"/>
      <c r="C8" s="64"/>
      <c r="D8" s="64"/>
      <c r="E8" s="65"/>
    </row>
    <row r="9" spans="1:8" ht="15.75" thickBot="1" x14ac:dyDescent="0.3">
      <c r="A9" s="66" t="s">
        <v>94</v>
      </c>
      <c r="B9" s="64"/>
      <c r="C9" s="64"/>
      <c r="D9" s="64"/>
      <c r="E9" s="65"/>
    </row>
    <row r="10" spans="1:8" x14ac:dyDescent="0.25">
      <c r="A10" s="58" t="s">
        <v>6</v>
      </c>
      <c r="B10" s="67"/>
      <c r="C10" s="67">
        <f>B44/1000*'myTEM Free Topology Rechner'!B51</f>
        <v>10.845000000000001</v>
      </c>
      <c r="D10" s="68">
        <f>B44/1000*'myTEM Free Topology Rechner'!C51</f>
        <v>7.23</v>
      </c>
      <c r="E10" s="65"/>
      <c r="G10" s="48" t="s">
        <v>39</v>
      </c>
      <c r="H10" s="48" t="s">
        <v>39</v>
      </c>
    </row>
    <row r="11" spans="1:8" x14ac:dyDescent="0.25">
      <c r="A11" s="60" t="s">
        <v>27</v>
      </c>
      <c r="B11" s="69">
        <f>B12*B13</f>
        <v>19.253594364231464</v>
      </c>
      <c r="C11" s="69">
        <f>'myTEM Free Topology Rechner'!B54*$B$36+'myTEM Free Topology Rechner'!B55*$B$37+'myTEM Free Topology Rechner'!B56*$B$38+'myTEM Free Topology Rechner'!B57*$B$39+IF(SUM('myTEM Free Topology Rechner'!B54:B57)&gt;0,B40,0)+IF('myTEM Free Topology Rechner'!B55&gt;=C41/2,C41*'myTEM Free Topology Parameters'!B41,IF('myTEM Free Topology Rechner'!B55&gt;0,2*'myTEM Free Topology Rechner'!B55*'myTEM Free Topology Parameters'!B41,IF('myTEM Free Topology Rechner'!B55=0,0,B41)))</f>
        <v>5.87</v>
      </c>
      <c r="D11" s="70">
        <f>'myTEM Free Topology Rechner'!C54*$B$36+'myTEM Free Topology Rechner'!C55*$B$37+'myTEM Free Topology Rechner'!C56*$B$38+'myTEM Free Topology Rechner'!C57*$B$39+IF(SUM('myTEM Free Topology Rechner'!C54:C57)&gt;0,B40,0)+IF('myTEM Free Topology Rechner'!C55&gt;=C41/2,C41*'myTEM Free Topology Parameters'!B41,IF('myTEM Free Topology Rechner'!C55&gt;0,2*'myTEM Free Topology Rechner'!C55*'myTEM Free Topology Parameters'!B41,IF('myTEM Free Topology Rechner'!C55=0,0,B41)))</f>
        <v>5.0199999999999996</v>
      </c>
      <c r="E11" s="65"/>
      <c r="F11" s="48" t="s">
        <v>34</v>
      </c>
      <c r="G11" s="48" t="s">
        <v>68</v>
      </c>
      <c r="H11" s="48" t="s">
        <v>68</v>
      </c>
    </row>
    <row r="12" spans="1:8" x14ac:dyDescent="0.25">
      <c r="A12" s="60" t="s">
        <v>23</v>
      </c>
      <c r="B12" s="69">
        <f>IFERROR(C12+C10*B13,"Error! To many FT device or too long cables!")</f>
        <v>23.798450320059501</v>
      </c>
      <c r="C12" s="69">
        <f>D12+D13*D10</f>
        <v>15.02455</v>
      </c>
      <c r="D12" s="70">
        <v>12</v>
      </c>
      <c r="E12" s="65"/>
      <c r="F12" s="48" t="s">
        <v>64</v>
      </c>
      <c r="G12" s="48" t="s">
        <v>65</v>
      </c>
      <c r="H12" s="48" t="s">
        <v>66</v>
      </c>
    </row>
    <row r="13" spans="1:8" ht="15.75" thickBot="1" x14ac:dyDescent="0.3">
      <c r="A13" s="62" t="s">
        <v>24</v>
      </c>
      <c r="B13" s="71">
        <f>IFERROR(C13+D13,"Error! To many FT device or too long cables!")</f>
        <v>0.80902723098750595</v>
      </c>
      <c r="C13" s="71">
        <f>IFERROR(C11/C12,"Error! To many FT device or too long cables!")</f>
        <v>0.39069389765417267</v>
      </c>
      <c r="D13" s="72">
        <f>IFERROR(D11/D12,"Error! Cable length too long or too much free topology devices!")</f>
        <v>0.41833333333333328</v>
      </c>
      <c r="E13" s="65"/>
      <c r="F13" s="48" t="s">
        <v>29</v>
      </c>
      <c r="G13" s="48" t="s">
        <v>28</v>
      </c>
      <c r="H13" s="48" t="s">
        <v>28</v>
      </c>
    </row>
    <row r="14" spans="1:8" x14ac:dyDescent="0.25">
      <c r="A14" s="66"/>
      <c r="B14" s="64"/>
      <c r="C14" s="64"/>
      <c r="D14" s="65"/>
      <c r="E14" s="65"/>
    </row>
    <row r="15" spans="1:8" ht="15.75" thickBot="1" x14ac:dyDescent="0.3">
      <c r="A15" s="66" t="s">
        <v>95</v>
      </c>
      <c r="B15" s="65"/>
      <c r="C15" s="65"/>
      <c r="D15" s="65"/>
      <c r="E15" s="65"/>
    </row>
    <row r="16" spans="1:8" x14ac:dyDescent="0.25">
      <c r="A16" s="58" t="s">
        <v>6</v>
      </c>
      <c r="B16" s="68">
        <f>(24-B18)/B19</f>
        <v>35.467980295566498</v>
      </c>
      <c r="C16" s="65"/>
      <c r="D16" s="65"/>
      <c r="E16" s="65"/>
      <c r="F16" s="48" t="s">
        <v>67</v>
      </c>
    </row>
    <row r="17" spans="1:7" x14ac:dyDescent="0.25">
      <c r="A17" s="60" t="s">
        <v>12</v>
      </c>
      <c r="B17" s="70">
        <f>'myTEM Free Topology Rechner'!B99*'myTEM Free Topology Parameters'!$B$36+'myTEM Free Topology Rechner'!B100*'myTEM Free Topology Parameters'!$B$37+'myTEM Free Topology Rechner'!B101*'myTEM Free Topology Parameters'!$B$38+'myTEM Free Topology Rechner'!B102*'myTEM Free Topology Parameters'!$B$39+IF(SUM('myTEM Free Topology Rechner'!B99:B102)&gt;0,B40,0)+IF('myTEM Free Topology Rechner'!B100&gt;=C41/2,C41*'myTEM Free Topology Parameters'!B41,IF('myTEM Free Topology Rechner'!B100&gt;0,2*'myTEM Free Topology Rechner'!B100*'myTEM Free Topology Parameters'!B41,IF('myTEM Free Topology Rechner'!B100=0,0,B41)))</f>
        <v>4.0600000000000005</v>
      </c>
      <c r="C17" s="65"/>
      <c r="D17" s="65"/>
      <c r="E17" s="65"/>
      <c r="F17" s="48" t="s">
        <v>50</v>
      </c>
    </row>
    <row r="18" spans="1:7" x14ac:dyDescent="0.25">
      <c r="A18" s="60" t="s">
        <v>23</v>
      </c>
      <c r="B18" s="70">
        <v>12</v>
      </c>
      <c r="C18" s="65"/>
      <c r="D18" s="65"/>
      <c r="E18" s="65"/>
      <c r="F18" s="48" t="s">
        <v>66</v>
      </c>
    </row>
    <row r="19" spans="1:7" x14ac:dyDescent="0.25">
      <c r="A19" s="60" t="s">
        <v>24</v>
      </c>
      <c r="B19" s="70">
        <f>B17/B18</f>
        <v>0.33833333333333337</v>
      </c>
      <c r="C19" s="65"/>
      <c r="D19" s="65"/>
      <c r="E19" s="65"/>
      <c r="F19" s="48" t="s">
        <v>28</v>
      </c>
    </row>
    <row r="20" spans="1:7" ht="15.75" thickBot="1" x14ac:dyDescent="0.3">
      <c r="A20" s="62" t="s">
        <v>27</v>
      </c>
      <c r="B20" s="72">
        <f>24*B19</f>
        <v>8.120000000000001</v>
      </c>
      <c r="C20" s="65"/>
      <c r="D20" s="65"/>
      <c r="E20" s="65"/>
    </row>
    <row r="21" spans="1:7" x14ac:dyDescent="0.25">
      <c r="A21" s="65"/>
      <c r="B21" s="65"/>
      <c r="C21" s="65"/>
      <c r="D21" s="65"/>
      <c r="E21" s="65"/>
    </row>
    <row r="22" spans="1:7" ht="15.75" thickBot="1" x14ac:dyDescent="0.3">
      <c r="A22" s="66" t="s">
        <v>52</v>
      </c>
      <c r="C22" s="65"/>
      <c r="D22" s="65"/>
      <c r="E22" s="65"/>
    </row>
    <row r="23" spans="1:7" x14ac:dyDescent="0.25">
      <c r="A23" s="73" t="s">
        <v>9</v>
      </c>
      <c r="B23" s="74">
        <v>24</v>
      </c>
      <c r="C23" s="59">
        <f>IFERROR(IF(B28=A49,0,1),A49)</f>
        <v>1</v>
      </c>
      <c r="F23" s="48" t="s">
        <v>59</v>
      </c>
      <c r="G23" s="48" t="s">
        <v>60</v>
      </c>
    </row>
    <row r="24" spans="1:7" x14ac:dyDescent="0.25">
      <c r="A24" s="75" t="s">
        <v>8</v>
      </c>
      <c r="B24" s="76">
        <f>'myTEM Free Topology Rechner'!B73</f>
        <v>200</v>
      </c>
      <c r="C24" s="61">
        <f>C25/'myTEM Free Topology Parameters'!B44*1000</f>
        <v>129.83710852759305</v>
      </c>
      <c r="F24" s="48" t="s">
        <v>53</v>
      </c>
      <c r="G24" s="48" t="s">
        <v>63</v>
      </c>
    </row>
    <row r="25" spans="1:7" x14ac:dyDescent="0.25">
      <c r="A25" s="60" t="s">
        <v>6</v>
      </c>
      <c r="B25" s="77">
        <f>'myTEM Free Topology Parameters'!B44/1000*B24/2</f>
        <v>7.23</v>
      </c>
      <c r="C25" s="61">
        <f>C27/C28/2</f>
        <v>9.3872229465449788</v>
      </c>
      <c r="F25" s="48" t="s">
        <v>54</v>
      </c>
      <c r="G25" s="48" t="s">
        <v>62</v>
      </c>
    </row>
    <row r="26" spans="1:7" x14ac:dyDescent="0.25">
      <c r="A26" s="60" t="s">
        <v>12</v>
      </c>
      <c r="B26" s="69">
        <f>'myTEM Free Topology Rechner'!B76*'myTEM Free Topology Parameters'!B36+'myTEM Free Topology Rechner'!B77*'myTEM Free Topology Parameters'!B37+'myTEM Free Topology Rechner'!B78*'myTEM Free Topology Parameters'!B38+'myTEM Free Topology Rechner'!B79*'myTEM Free Topology Parameters'!B39+IF(SUM('myTEM Free Topology Rechner'!B76:B79)&gt;0,'myTEM Free Topology Parameters'!B40,0)+IF('myTEM Free Topology Rechner'!B77&gt;=C41/2,C41*'myTEM Free Topology Parameters'!B41,IF('myTEM Free Topology Rechner'!B77&gt;0,2*'myTEM Free Topology Rechner'!B77*B41,IF('myTEM Free Topology Rechner'!B100=0,0,B41)))</f>
        <v>7.6700000000000008</v>
      </c>
      <c r="C26" s="78">
        <f>B26</f>
        <v>7.6700000000000008</v>
      </c>
      <c r="F26" s="48" t="s">
        <v>68</v>
      </c>
      <c r="G26" s="48" t="s">
        <v>68</v>
      </c>
    </row>
    <row r="27" spans="1:7" x14ac:dyDescent="0.25">
      <c r="A27" s="60" t="s">
        <v>23</v>
      </c>
      <c r="B27" s="77">
        <f>IFERROR(B23/2-SQRT(-2*B25*B26+B23*B23/4),A49)</f>
        <v>6.2474527381341769</v>
      </c>
      <c r="C27" s="61">
        <v>12</v>
      </c>
      <c r="F27" s="48" t="s">
        <v>55</v>
      </c>
      <c r="G27" s="48" t="s">
        <v>61</v>
      </c>
    </row>
    <row r="28" spans="1:7" x14ac:dyDescent="0.25">
      <c r="A28" s="60" t="s">
        <v>23</v>
      </c>
      <c r="B28" s="77">
        <f>IFERROR(B23/2+SQRT(-2*B25*B26+B23*B23/4),A49)</f>
        <v>17.752547261865821</v>
      </c>
      <c r="C28" s="61">
        <f>C26/C27</f>
        <v>0.63916666666666677</v>
      </c>
      <c r="F28" s="48" t="s">
        <v>56</v>
      </c>
      <c r="G28" s="48" t="s">
        <v>28</v>
      </c>
    </row>
    <row r="29" spans="1:7" x14ac:dyDescent="0.25">
      <c r="A29" s="60" t="s">
        <v>24</v>
      </c>
      <c r="B29" s="77">
        <f>IFERROR(B26/B27,A49)</f>
        <v>1.2277003638911357</v>
      </c>
      <c r="C29" s="61"/>
      <c r="F29" s="48" t="s">
        <v>57</v>
      </c>
    </row>
    <row r="30" spans="1:7" x14ac:dyDescent="0.25">
      <c r="A30" s="60" t="s">
        <v>24</v>
      </c>
      <c r="B30" s="77">
        <f>IFERROR(B26/B28,A49)</f>
        <v>0.43205067345326259</v>
      </c>
      <c r="C30" s="61"/>
      <c r="F30" s="48" t="s">
        <v>57</v>
      </c>
    </row>
    <row r="31" spans="1:7" x14ac:dyDescent="0.25">
      <c r="A31" s="60" t="s">
        <v>27</v>
      </c>
      <c r="B31" s="77">
        <f>IFERROR(B23*B29,A49)</f>
        <v>29.464808733387258</v>
      </c>
      <c r="C31" s="61"/>
      <c r="F31" s="48" t="s">
        <v>58</v>
      </c>
    </row>
    <row r="32" spans="1:7" ht="15.75" thickBot="1" x14ac:dyDescent="0.3">
      <c r="A32" s="62" t="s">
        <v>27</v>
      </c>
      <c r="B32" s="79">
        <f>IFERROR(B23*B30,A49)</f>
        <v>10.369216162878303</v>
      </c>
      <c r="C32" s="63"/>
      <c r="F32" s="48" t="s">
        <v>58</v>
      </c>
    </row>
    <row r="35" spans="1:7" x14ac:dyDescent="0.25">
      <c r="A35" s="80" t="s">
        <v>0</v>
      </c>
      <c r="B35" s="81" t="s">
        <v>7</v>
      </c>
      <c r="G35" s="48" t="s">
        <v>48</v>
      </c>
    </row>
    <row r="36" spans="1:7" x14ac:dyDescent="0.25">
      <c r="A36" s="57" t="s">
        <v>2</v>
      </c>
      <c r="B36" s="55">
        <v>7.0000000000000007E-2</v>
      </c>
      <c r="C36" s="48" t="s">
        <v>43</v>
      </c>
      <c r="G36" s="48">
        <v>0.14000000000000001</v>
      </c>
    </row>
    <row r="37" spans="1:7" x14ac:dyDescent="0.25">
      <c r="A37" s="57" t="s">
        <v>3</v>
      </c>
      <c r="B37" s="55">
        <v>0.1</v>
      </c>
      <c r="C37" s="48" t="s">
        <v>45</v>
      </c>
      <c r="G37" s="48">
        <v>0.6</v>
      </c>
    </row>
    <row r="38" spans="1:7" x14ac:dyDescent="0.25">
      <c r="A38" s="57" t="s">
        <v>4</v>
      </c>
      <c r="B38" s="55">
        <v>0.19</v>
      </c>
      <c r="C38" s="48" t="s">
        <v>42</v>
      </c>
      <c r="G38" s="48">
        <v>0.26</v>
      </c>
    </row>
    <row r="39" spans="1:7" x14ac:dyDescent="0.25">
      <c r="A39" s="57" t="s">
        <v>5</v>
      </c>
      <c r="B39" s="55">
        <v>0.03</v>
      </c>
      <c r="C39" s="48" t="s">
        <v>44</v>
      </c>
      <c r="G39" s="48">
        <v>0.1</v>
      </c>
    </row>
    <row r="40" spans="1:7" x14ac:dyDescent="0.25">
      <c r="A40" s="57" t="s">
        <v>46</v>
      </c>
      <c r="B40" s="55">
        <v>7.0000000000000007E-2</v>
      </c>
      <c r="C40" s="48" t="s">
        <v>41</v>
      </c>
    </row>
    <row r="41" spans="1:7" x14ac:dyDescent="0.25">
      <c r="A41" s="57" t="s">
        <v>47</v>
      </c>
      <c r="B41" s="55">
        <v>0.5</v>
      </c>
      <c r="C41" s="48">
        <v>6</v>
      </c>
      <c r="D41" s="48" t="s">
        <v>49</v>
      </c>
    </row>
    <row r="42" spans="1:7" x14ac:dyDescent="0.25">
      <c r="A42" s="82"/>
      <c r="B42" s="83"/>
    </row>
    <row r="43" spans="1:7" x14ac:dyDescent="0.25">
      <c r="A43" s="84" t="s">
        <v>1</v>
      </c>
      <c r="B43" s="83" t="s">
        <v>69</v>
      </c>
    </row>
    <row r="44" spans="1:7" x14ac:dyDescent="0.25">
      <c r="A44" s="85" t="s">
        <v>38</v>
      </c>
      <c r="B44" s="86">
        <v>72.3</v>
      </c>
    </row>
    <row r="47" spans="1:7" ht="15.75" thickBot="1" x14ac:dyDescent="0.3"/>
    <row r="48" spans="1:7" x14ac:dyDescent="0.25">
      <c r="A48" s="58" t="s">
        <v>30</v>
      </c>
      <c r="B48" s="87"/>
    </row>
    <row r="49" spans="1:2" x14ac:dyDescent="0.25">
      <c r="A49" s="60" t="s">
        <v>101</v>
      </c>
      <c r="B49" s="61"/>
    </row>
    <row r="50" spans="1:2" x14ac:dyDescent="0.25">
      <c r="A50" s="60" t="s">
        <v>31</v>
      </c>
      <c r="B50" s="61" t="str">
        <f>IF(AND(B13&lt;1.5,B11&lt;36),A50,IF(AND(B13&lt;3.83,B11&lt;92),A51,IF(AND(B13&lt;10,B11&lt;240),A52,A53)))</f>
        <v>"MTPOW-100 36W 1.5A"</v>
      </c>
    </row>
    <row r="51" spans="1:2" x14ac:dyDescent="0.25">
      <c r="A51" s="60" t="s">
        <v>32</v>
      </c>
      <c r="B51" s="61" t="str">
        <f>IF(AND(B19&lt;1.5,B20&lt;36),A50,IF(AND(B19&lt;3.83,B17&lt;92),A52,IF(AND(B19&lt;10,B17&lt;240),A51,A53)))</f>
        <v>"MTPOW-100 36W 1.5A"</v>
      </c>
    </row>
    <row r="52" spans="1:2" x14ac:dyDescent="0.25">
      <c r="A52" s="60" t="s">
        <v>33</v>
      </c>
      <c r="B52" s="61" t="str">
        <f>IF(AND('myTEM Free Topology Parameters'!B30&lt;1.5,'myTEM Free Topology Parameters'!B32&lt;36),A50,IF(AND('myTEM Free Topology Parameters'!B30&lt;3.83,'myTEM Free Topology Parameters'!B32&lt;92),A51,IF(AND('myTEM Free Topology Parameters'!B30&lt;10,'myTEM Free Topology Parameters'!B32&lt;240),A52,IF('myTEM Free Topology Parameters'!C23=0,A54,A53))))</f>
        <v>"MTPOW-100 36W 1.5A"</v>
      </c>
    </row>
    <row r="53" spans="1:2" x14ac:dyDescent="0.25">
      <c r="A53" s="60" t="s">
        <v>82</v>
      </c>
      <c r="B53" s="61" t="str">
        <f>IF(AND(B7&lt;1.5,B5&lt;36),A50,IF(AND(B7&lt;3.83,B5&lt;92),A51,IF(AND(B7&lt;10,B5&lt;240),A52,A53)))</f>
        <v>"MTPOW-100 36W 1.5A"</v>
      </c>
    </row>
    <row r="54" spans="1:2" ht="15.75" thickBot="1" x14ac:dyDescent="0.3">
      <c r="A54" s="62" t="s">
        <v>119</v>
      </c>
      <c r="B54" s="63"/>
    </row>
  </sheetData>
  <sheetProtection algorithmName="SHA-512" hashValue="6ZA+yqpRxKiBnuoJLWA1mtFqHwlKXRFB3+CggY4jtdUX650cMhWdURY+USG/if7NbeK0fo+FjRbZMUWD2PXVwQ==" saltValue="BAJjj+RywzUjeXnp+z03qA==" spinCount="100000"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zoomScaleNormal="100" workbookViewId="0">
      <selection activeCell="B28" sqref="B28"/>
    </sheetView>
  </sheetViews>
  <sheetFormatPr baseColWidth="10" defaultRowHeight="15" x14ac:dyDescent="0.25"/>
  <cols>
    <col min="1" max="1" width="38.7109375" style="3" customWidth="1"/>
    <col min="2" max="2" width="56.5703125" style="3" customWidth="1"/>
    <col min="3" max="3" width="23.7109375" style="3" bestFit="1" customWidth="1"/>
    <col min="4" max="16384" width="11.42578125" style="3"/>
  </cols>
  <sheetData>
    <row r="1" spans="1:3" ht="26.25" x14ac:dyDescent="0.25">
      <c r="A1" s="1" t="s">
        <v>85</v>
      </c>
      <c r="B1" s="2"/>
      <c r="C1" s="2"/>
    </row>
    <row r="2" spans="1:3" x14ac:dyDescent="0.25">
      <c r="B2" s="2"/>
      <c r="C2" s="2"/>
    </row>
    <row r="3" spans="1:3" ht="21" x14ac:dyDescent="0.25">
      <c r="A3" s="4" t="s">
        <v>70</v>
      </c>
      <c r="B3" s="2"/>
      <c r="C3" s="2"/>
    </row>
    <row r="4" spans="1:3" ht="15" customHeight="1" x14ac:dyDescent="0.25">
      <c r="A4" s="92" t="s">
        <v>97</v>
      </c>
      <c r="B4" s="92"/>
      <c r="C4" s="2"/>
    </row>
    <row r="5" spans="1:3" ht="15" customHeight="1" x14ac:dyDescent="0.25">
      <c r="A5" s="92" t="s">
        <v>96</v>
      </c>
      <c r="B5" s="92"/>
      <c r="C5" s="2"/>
    </row>
    <row r="6" spans="1:3" x14ac:dyDescent="0.25">
      <c r="B6" s="2"/>
      <c r="C6" s="2"/>
    </row>
    <row r="7" spans="1:3" ht="24.95" customHeight="1" thickBot="1" x14ac:dyDescent="0.3">
      <c r="A7" s="4" t="s">
        <v>83</v>
      </c>
      <c r="B7" s="2"/>
      <c r="C7" s="2"/>
    </row>
    <row r="8" spans="1:3" s="46" customFormat="1" ht="17.100000000000001" customHeight="1" thickBot="1" x14ac:dyDescent="0.3">
      <c r="A8" s="89" t="s">
        <v>112</v>
      </c>
      <c r="B8" s="90" t="s">
        <v>111</v>
      </c>
      <c r="C8" s="14"/>
    </row>
    <row r="9" spans="1:3" x14ac:dyDescent="0.25">
      <c r="B9" s="2"/>
      <c r="C9" s="2"/>
    </row>
    <row r="10" spans="1:3" ht="21" x14ac:dyDescent="0.25">
      <c r="A10" s="4" t="s">
        <v>71</v>
      </c>
      <c r="B10" s="2"/>
      <c r="C10" s="2"/>
    </row>
    <row r="11" spans="1:3" ht="30" customHeight="1" x14ac:dyDescent="0.25">
      <c r="A11" s="93" t="s">
        <v>108</v>
      </c>
      <c r="B11" s="93"/>
      <c r="C11" s="2"/>
    </row>
    <row r="12" spans="1:3" ht="15.75" thickBot="1" x14ac:dyDescent="0.3">
      <c r="B12" s="2"/>
      <c r="C12" s="2"/>
    </row>
    <row r="13" spans="1:3" ht="15.75" thickBot="1" x14ac:dyDescent="0.3">
      <c r="A13" s="42" t="s">
        <v>81</v>
      </c>
      <c r="B13" s="6">
        <f>IFERROR('myTEM Wired Parameters'!B4/'myTEM Wired Parameters'!B20*1000,"Error! Missing devices!")</f>
        <v>15.6472869786675</v>
      </c>
    </row>
    <row r="14" spans="1:3" ht="15.75" thickBot="1" x14ac:dyDescent="0.3"/>
    <row r="15" spans="1:3" x14ac:dyDescent="0.25">
      <c r="A15" s="7" t="s">
        <v>98</v>
      </c>
      <c r="B15" s="15">
        <v>0.75</v>
      </c>
    </row>
    <row r="16" spans="1:3" ht="15.75" thickBot="1" x14ac:dyDescent="0.3">
      <c r="A16" s="8" t="s">
        <v>87</v>
      </c>
      <c r="B16" s="16">
        <v>50</v>
      </c>
    </row>
    <row r="17" spans="1:2" ht="15.75" thickBot="1" x14ac:dyDescent="0.3">
      <c r="B17" s="2"/>
    </row>
    <row r="18" spans="1:2" x14ac:dyDescent="0.25">
      <c r="A18" s="9" t="s">
        <v>72</v>
      </c>
      <c r="B18" s="10" t="s">
        <v>73</v>
      </c>
    </row>
    <row r="19" spans="1:2" x14ac:dyDescent="0.25">
      <c r="A19" s="11" t="s">
        <v>13</v>
      </c>
      <c r="B19" s="17">
        <v>6</v>
      </c>
    </row>
    <row r="20" spans="1:2" x14ac:dyDescent="0.25">
      <c r="A20" s="11" t="s">
        <v>14</v>
      </c>
      <c r="B20" s="17">
        <v>10</v>
      </c>
    </row>
    <row r="21" spans="1:2" x14ac:dyDescent="0.25">
      <c r="A21" s="11" t="s">
        <v>15</v>
      </c>
      <c r="B21" s="17">
        <v>6</v>
      </c>
    </row>
    <row r="22" spans="1:2" x14ac:dyDescent="0.25">
      <c r="A22" s="11" t="s">
        <v>16</v>
      </c>
      <c r="B22" s="17">
        <v>4</v>
      </c>
    </row>
    <row r="23" spans="1:2" x14ac:dyDescent="0.25">
      <c r="A23" s="11" t="s">
        <v>17</v>
      </c>
      <c r="B23" s="17">
        <v>6</v>
      </c>
    </row>
    <row r="24" spans="1:2" x14ac:dyDescent="0.25">
      <c r="A24" s="11" t="s">
        <v>18</v>
      </c>
      <c r="B24" s="17">
        <v>1</v>
      </c>
    </row>
    <row r="25" spans="1:2" x14ac:dyDescent="0.25">
      <c r="A25" s="11" t="s">
        <v>19</v>
      </c>
      <c r="B25" s="17">
        <v>6</v>
      </c>
    </row>
    <row r="26" spans="1:2" x14ac:dyDescent="0.25">
      <c r="A26" s="11" t="s">
        <v>20</v>
      </c>
      <c r="B26" s="17">
        <v>6</v>
      </c>
    </row>
    <row r="27" spans="1:2" x14ac:dyDescent="0.25">
      <c r="A27" s="11" t="s">
        <v>74</v>
      </c>
      <c r="B27" s="12">
        <f>IFERROR('myTEM Wired Parameters'!B5,'myTEM Free Topology Parameters'!A36)</f>
        <v>77.98</v>
      </c>
    </row>
    <row r="28" spans="1:2" ht="21.75" thickBot="1" x14ac:dyDescent="0.3">
      <c r="A28" s="43" t="s">
        <v>75</v>
      </c>
      <c r="B28" s="13" t="str">
        <f>'myTEM Wired Parameters'!B24</f>
        <v>"MTPOW-101 92W 3.83A"</v>
      </c>
    </row>
    <row r="29" spans="1:2" x14ac:dyDescent="0.25">
      <c r="B29" s="2"/>
    </row>
    <row r="30" spans="1:2" x14ac:dyDescent="0.25">
      <c r="B30" s="2"/>
    </row>
    <row r="31" spans="1:2" x14ac:dyDescent="0.25">
      <c r="B31" s="2"/>
    </row>
    <row r="37" spans="3:3" x14ac:dyDescent="0.25">
      <c r="C37" s="2"/>
    </row>
    <row r="38" spans="3:3" x14ac:dyDescent="0.25">
      <c r="C38" s="14"/>
    </row>
    <row r="39" spans="3:3" x14ac:dyDescent="0.25">
      <c r="C39" s="2"/>
    </row>
    <row r="40" spans="3:3" x14ac:dyDescent="0.25">
      <c r="C40" s="2"/>
    </row>
    <row r="41" spans="3:3" x14ac:dyDescent="0.25">
      <c r="C41" s="2"/>
    </row>
    <row r="42" spans="3:3" x14ac:dyDescent="0.25">
      <c r="C42" s="2"/>
    </row>
    <row r="43" spans="3:3" x14ac:dyDescent="0.25">
      <c r="C43" s="2"/>
    </row>
    <row r="44" spans="3:3" x14ac:dyDescent="0.25">
      <c r="C44" s="2"/>
    </row>
    <row r="45" spans="3:3" x14ac:dyDescent="0.25">
      <c r="C45" s="2"/>
    </row>
    <row r="46" spans="3:3" x14ac:dyDescent="0.25">
      <c r="C46" s="2"/>
    </row>
    <row r="47" spans="3:3" x14ac:dyDescent="0.25">
      <c r="C47" s="2"/>
    </row>
    <row r="48" spans="3:3" x14ac:dyDescent="0.25">
      <c r="C48" s="2"/>
    </row>
    <row r="49" spans="2:3" x14ac:dyDescent="0.25">
      <c r="C49" s="2"/>
    </row>
    <row r="50" spans="2:3" x14ac:dyDescent="0.25">
      <c r="B50" s="2"/>
      <c r="C50" s="2"/>
    </row>
  </sheetData>
  <sheetProtection algorithmName="SHA-512" hashValue="86jQrYE9DESDbb7xvfevPCLKkc2fHpzkcYacj7k2a8EL9/OZcw8+4ARE8SwDUpWfeh37nB1KdUgma9kh5AQD9g==" saltValue="aOhp1I7WDqvdZaH9zpD0xw==" spinCount="100000" sheet="1" objects="1" scenarios="1"/>
  <protectedRanges>
    <protectedRange sqref="B19:B26" name="Bereich1"/>
  </protectedRanges>
  <mergeCells count="3">
    <mergeCell ref="A4:B4"/>
    <mergeCell ref="A5:B5"/>
    <mergeCell ref="A11:B11"/>
  </mergeCells>
  <printOptions horizontalCentered="1"/>
  <pageMargins left="0.59055118110236227" right="0.59055118110236227" top="0.70866141732283472" bottom="0.47244094488188981" header="0.31496062992125984" footer="0.31496062992125984"/>
  <pageSetup paperSize="9" scale="96" fitToHeight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baseColWidth="10" defaultRowHeight="15" x14ac:dyDescent="0.25"/>
  <cols>
    <col min="1" max="1" width="58.7109375" style="48" bestFit="1" customWidth="1"/>
    <col min="2" max="2" width="44.28515625" style="48" bestFit="1" customWidth="1"/>
    <col min="3" max="3" width="13.28515625" style="48" bestFit="1" customWidth="1"/>
    <col min="4" max="16384" width="11.42578125" style="48"/>
  </cols>
  <sheetData>
    <row r="1" spans="1:4" ht="21" x14ac:dyDescent="0.35">
      <c r="A1" s="47" t="s">
        <v>22</v>
      </c>
    </row>
    <row r="3" spans="1:4" x14ac:dyDescent="0.25">
      <c r="A3" s="49" t="s">
        <v>9</v>
      </c>
      <c r="B3" s="50">
        <v>24</v>
      </c>
    </row>
    <row r="4" spans="1:4" x14ac:dyDescent="0.25">
      <c r="A4" s="49" t="s">
        <v>6</v>
      </c>
      <c r="B4" s="50">
        <f>IFERROR((B3-B6)/(B7),"Error! Missing devices!")</f>
        <v>0.71351628622723806</v>
      </c>
      <c r="D4" s="48" t="s">
        <v>40</v>
      </c>
    </row>
    <row r="5" spans="1:4" x14ac:dyDescent="0.25">
      <c r="A5" s="49" t="s">
        <v>21</v>
      </c>
      <c r="B5" s="50">
        <f>'myTEM Wired Rechner'!B19*'myTEM Wired Parameters'!C10+'myTEM Wired Rechner'!B16/100*'myTEM Wired Rechner'!B19*('myTEM Wired Parameters'!B10-'myTEM Wired Parameters'!C10)+'myTEM Wired Rechner'!B20*'myTEM Wired Parameters'!C11+'myTEM Wired Rechner'!B16/100*'myTEM Wired Rechner'!B20*('myTEM Wired Parameters'!B11-'myTEM Wired Parameters'!C11)+'myTEM Wired Rechner'!B21*'myTEM Wired Parameters'!C12+'myTEM Wired Rechner'!B16/100*'myTEM Wired Rechner'!B21*('myTEM Wired Parameters'!B12-'myTEM Wired Parameters'!C12)+'myTEM Wired Rechner'!B22*'myTEM Wired Parameters'!C13+'myTEM Wired Rechner'!B16/100*'myTEM Wired Rechner'!B22*('myTEM Wired Parameters'!B13-'myTEM Wired Parameters'!C13)+'myTEM Wired Rechner'!B23*'myTEM Wired Parameters'!B14+'myTEM Wired Rechner'!B24*'myTEM Wired Parameters'!B15+'myTEM Wired Rechner'!B25*'myTEM Wired Parameters'!B16+'myTEM Wired Rechner'!B26*'myTEM Wired Parameters'!B17</f>
        <v>77.98</v>
      </c>
      <c r="D5" s="48" t="s">
        <v>36</v>
      </c>
    </row>
    <row r="6" spans="1:4" x14ac:dyDescent="0.25">
      <c r="A6" s="49" t="s">
        <v>10</v>
      </c>
      <c r="B6" s="50">
        <v>21.4</v>
      </c>
    </row>
    <row r="7" spans="1:4" x14ac:dyDescent="0.25">
      <c r="A7" s="49" t="s">
        <v>11</v>
      </c>
      <c r="B7" s="50">
        <f>IFERROR(B5/B6,"Error! Cable length too long or too much free topology devices!")</f>
        <v>3.6439252336448602</v>
      </c>
      <c r="D7" s="48" t="s">
        <v>37</v>
      </c>
    </row>
    <row r="8" spans="1:4" x14ac:dyDescent="0.25">
      <c r="B8" s="51"/>
    </row>
    <row r="9" spans="1:4" x14ac:dyDescent="0.25">
      <c r="A9" s="52" t="s">
        <v>0</v>
      </c>
      <c r="B9" s="53" t="s">
        <v>7</v>
      </c>
      <c r="C9" s="54" t="s">
        <v>89</v>
      </c>
    </row>
    <row r="10" spans="1:4" x14ac:dyDescent="0.25">
      <c r="A10" s="49" t="s">
        <v>13</v>
      </c>
      <c r="B10" s="55">
        <v>4.7</v>
      </c>
      <c r="C10" s="48">
        <v>0.6</v>
      </c>
    </row>
    <row r="11" spans="1:4" x14ac:dyDescent="0.25">
      <c r="A11" s="49" t="s">
        <v>14</v>
      </c>
      <c r="B11" s="55">
        <v>4.5</v>
      </c>
      <c r="C11" s="48">
        <v>0.4</v>
      </c>
    </row>
    <row r="12" spans="1:4" x14ac:dyDescent="0.25">
      <c r="A12" s="49" t="s">
        <v>15</v>
      </c>
      <c r="B12" s="55">
        <v>2.5</v>
      </c>
      <c r="C12" s="48">
        <v>0.4</v>
      </c>
    </row>
    <row r="13" spans="1:4" x14ac:dyDescent="0.25">
      <c r="A13" s="49" t="s">
        <v>16</v>
      </c>
      <c r="B13" s="55">
        <v>6.8</v>
      </c>
      <c r="C13" s="48">
        <v>0.4</v>
      </c>
    </row>
    <row r="14" spans="1:4" x14ac:dyDescent="0.25">
      <c r="A14" s="49" t="s">
        <v>17</v>
      </c>
      <c r="B14" s="55">
        <v>1.6</v>
      </c>
      <c r="C14" s="48">
        <v>0.4</v>
      </c>
    </row>
    <row r="15" spans="1:4" x14ac:dyDescent="0.25">
      <c r="A15" s="49" t="s">
        <v>18</v>
      </c>
      <c r="B15" s="55">
        <v>0.8</v>
      </c>
      <c r="C15" s="48">
        <v>0.8</v>
      </c>
    </row>
    <row r="16" spans="1:4" x14ac:dyDescent="0.25">
      <c r="A16" s="49" t="s">
        <v>19</v>
      </c>
      <c r="B16" s="55">
        <v>0.4</v>
      </c>
      <c r="C16" s="48">
        <v>0.4</v>
      </c>
    </row>
    <row r="17" spans="1:3" x14ac:dyDescent="0.25">
      <c r="A17" s="49" t="s">
        <v>20</v>
      </c>
      <c r="B17" s="55">
        <v>0.28000000000000003</v>
      </c>
      <c r="C17" s="48">
        <v>0.28000000000000003</v>
      </c>
    </row>
    <row r="18" spans="1:3" x14ac:dyDescent="0.25">
      <c r="B18" s="56"/>
    </row>
    <row r="19" spans="1:3" x14ac:dyDescent="0.25">
      <c r="A19" s="52" t="s">
        <v>1</v>
      </c>
      <c r="B19" s="55"/>
    </row>
    <row r="20" spans="1:3" x14ac:dyDescent="0.25">
      <c r="A20" s="49" t="s">
        <v>38</v>
      </c>
      <c r="B20" s="55">
        <f>B21/'myTEM Wired Rechner'!B15*1000*2</f>
        <v>45.6</v>
      </c>
    </row>
    <row r="21" spans="1:3" x14ac:dyDescent="0.25">
      <c r="A21" s="57" t="s">
        <v>88</v>
      </c>
      <c r="B21" s="55">
        <v>1.7100000000000001E-2</v>
      </c>
    </row>
    <row r="22" spans="1:3" ht="15.75" thickBot="1" x14ac:dyDescent="0.3"/>
    <row r="23" spans="1:3" x14ac:dyDescent="0.25">
      <c r="A23" s="58" t="s">
        <v>30</v>
      </c>
      <c r="B23" s="59"/>
    </row>
    <row r="24" spans="1:3" x14ac:dyDescent="0.25">
      <c r="A24" s="60" t="s">
        <v>92</v>
      </c>
      <c r="B24" s="61" t="str">
        <f>IF(AND(B7&lt;1.5,B5&lt;36),A25,IF(AND(B7&lt;3.83,B5&lt;92),A26,IF(AND(B7&lt;10,B5&lt;240),A27,A28)))</f>
        <v>"MTPOW-101 92W 3.83A"</v>
      </c>
    </row>
    <row r="25" spans="1:3" x14ac:dyDescent="0.25">
      <c r="A25" s="60" t="s">
        <v>31</v>
      </c>
      <c r="B25" s="61"/>
    </row>
    <row r="26" spans="1:3" x14ac:dyDescent="0.25">
      <c r="A26" s="60" t="s">
        <v>32</v>
      </c>
      <c r="B26" s="61"/>
    </row>
    <row r="27" spans="1:3" x14ac:dyDescent="0.25">
      <c r="A27" s="60" t="s">
        <v>33</v>
      </c>
      <c r="B27" s="61"/>
    </row>
    <row r="28" spans="1:3" ht="15.75" thickBot="1" x14ac:dyDescent="0.3">
      <c r="A28" s="62" t="s">
        <v>82</v>
      </c>
      <c r="B28" s="63"/>
    </row>
  </sheetData>
  <sheetProtection algorithmName="SHA-512" hashValue="bZluyt0ZSC7fePvasndteBG2CtDIG8NOkoDx7NE+jLgGECb8j5G5BjpMXf1q4Psvnf6cWnyWtbmzu7MtND9Nfg==" saltValue="TlIsnc73OOKcriHRyNRwDw==" spinCount="100000" sheet="1" objects="1" scenarios="1"/>
  <pageMargins left="0.7" right="0.7" top="0.78740157499999996" bottom="0.78740157499999996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myTEM Smart Home</vt:lpstr>
      <vt:lpstr>myTEM Free Topology Rechner</vt:lpstr>
      <vt:lpstr>myTEM Free Topology Parameters</vt:lpstr>
      <vt:lpstr>myTEM Wired Rechner</vt:lpstr>
      <vt:lpstr>myTEM Wired Parameters</vt:lpstr>
      <vt:lpstr>'myTEM Free Topology Rechner'!Druckbereich</vt:lpstr>
      <vt:lpstr>'myTEM Smart Home'!Druckbereich</vt:lpstr>
      <vt:lpstr>'myTEM Wired Rechner'!Druckbereich</vt:lpstr>
    </vt:vector>
  </TitlesOfParts>
  <Company>TEM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Greco</dc:creator>
  <cp:lastModifiedBy>Fischbacher Rolf</cp:lastModifiedBy>
  <cp:lastPrinted>2021-02-15T15:50:05Z</cp:lastPrinted>
  <dcterms:created xsi:type="dcterms:W3CDTF">2021-01-21T06:28:37Z</dcterms:created>
  <dcterms:modified xsi:type="dcterms:W3CDTF">2021-06-17T15:21:26Z</dcterms:modified>
</cp:coreProperties>
</file>